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45" yWindow="30" windowWidth="14595" windowHeight="12780" activeTab="2"/>
  </bookViews>
  <sheets>
    <sheet name="Statement of Activities" sheetId="6" r:id="rId1"/>
    <sheet name="Gen Rev" sheetId="11" r:id="rId2"/>
    <sheet name="Gen Exp" sheetId="10" r:id="rId3"/>
    <sheet name="Gov Rev" sheetId="8" r:id="rId4"/>
    <sheet name="Gov Exp" sheetId="2" r:id="rId5"/>
  </sheets>
  <definedNames>
    <definedName name="_xlnm.Print_Area" localSheetId="2">'Gen Exp'!$A$1:$AE$681</definedName>
    <definedName name="_xlnm.Print_Area" localSheetId="1">'Gen Rev'!$A$1:$AI$682</definedName>
    <definedName name="_xlnm.Print_Area" localSheetId="4">'Gov Exp'!$A$1:$AE$682</definedName>
    <definedName name="_xlnm.Print_Area" localSheetId="3">'Gov Rev'!$A$1:$AI$682</definedName>
    <definedName name="_xlnm.Print_Area" localSheetId="0">'Statement of Activities'!$A$1:$AQ$148</definedName>
    <definedName name="_xlnm.Print_Titles" localSheetId="2">'Gen Exp'!$1:$7</definedName>
    <definedName name="_xlnm.Print_Titles" localSheetId="1">'Gen Rev'!$1:$7</definedName>
    <definedName name="_xlnm.Print_Titles" localSheetId="4">'Gov Exp'!$1:$7</definedName>
    <definedName name="_xlnm.Print_Titles" localSheetId="3">'Gov Rev'!$1:$7</definedName>
    <definedName name="_xlnm.Print_Titles" localSheetId="0">'Statement of Activities'!$1:$10</definedName>
  </definedNames>
  <calcPr calcId="145621"/>
</workbook>
</file>

<file path=xl/calcChain.xml><?xml version="1.0" encoding="utf-8"?>
<calcChain xmlns="http://schemas.openxmlformats.org/spreadsheetml/2006/main">
  <c r="AE387" i="2" l="1"/>
  <c r="AS47" i="6" l="1"/>
  <c r="AU50" i="6"/>
  <c r="AS63" i="6"/>
  <c r="AU66" i="6"/>
  <c r="AU69" i="6"/>
  <c r="AS83" i="6"/>
  <c r="AU86" i="6"/>
  <c r="AU89" i="6"/>
  <c r="AU90" i="6"/>
  <c r="AS102" i="6"/>
  <c r="AS105" i="6"/>
  <c r="AU105" i="6"/>
  <c r="AU109" i="6"/>
  <c r="AU117" i="6"/>
  <c r="AS121" i="6"/>
  <c r="AU121" i="6"/>
  <c r="AS122" i="6"/>
  <c r="AU124" i="6"/>
  <c r="AU125" i="6"/>
  <c r="AS126" i="6"/>
  <c r="AU126" i="6"/>
  <c r="AU129" i="6"/>
  <c r="AU130" i="6"/>
  <c r="AU137" i="6"/>
  <c r="AS138" i="6"/>
  <c r="AU144" i="6"/>
  <c r="AS145" i="6"/>
  <c r="AU145" i="6"/>
  <c r="AS146" i="6"/>
  <c r="AM147" i="6"/>
  <c r="AQ147" i="6" s="1"/>
  <c r="AM140" i="6"/>
  <c r="AQ140" i="6" s="1"/>
  <c r="AM132" i="6"/>
  <c r="AQ132" i="6" s="1"/>
  <c r="AM131" i="6"/>
  <c r="AQ131" i="6" s="1"/>
  <c r="AY131" i="6" s="1"/>
  <c r="AM124" i="6"/>
  <c r="AQ124" i="6" s="1"/>
  <c r="AM116" i="6"/>
  <c r="AQ116" i="6" s="1"/>
  <c r="AM115" i="6"/>
  <c r="AQ115" i="6" s="1"/>
  <c r="AM89" i="6"/>
  <c r="AQ89" i="6" s="1"/>
  <c r="AM81" i="6"/>
  <c r="AQ81" i="6" s="1"/>
  <c r="AM73" i="6"/>
  <c r="AQ73" i="6" s="1"/>
  <c r="AM65" i="6"/>
  <c r="AQ65" i="6" s="1"/>
  <c r="AM57" i="6"/>
  <c r="AQ57" i="6" s="1"/>
  <c r="AM41" i="6"/>
  <c r="AK148" i="6"/>
  <c r="AU148" i="6" s="1"/>
  <c r="AK147" i="6"/>
  <c r="AU147" i="6" s="1"/>
  <c r="AK146" i="6"/>
  <c r="AM146" i="6" s="1"/>
  <c r="AQ146" i="6" s="1"/>
  <c r="AY146" i="6" s="1"/>
  <c r="AK145" i="6"/>
  <c r="AM145" i="6" s="1"/>
  <c r="AQ145" i="6" s="1"/>
  <c r="AY145" i="6" s="1"/>
  <c r="AK144" i="6"/>
  <c r="AM144" i="6" s="1"/>
  <c r="AQ144" i="6" s="1"/>
  <c r="AK143" i="6"/>
  <c r="AU143" i="6" s="1"/>
  <c r="AK142" i="6"/>
  <c r="AK141" i="6"/>
  <c r="AU141" i="6" s="1"/>
  <c r="AK140" i="6"/>
  <c r="AU140" i="6" s="1"/>
  <c r="AK139" i="6"/>
  <c r="AU139" i="6" s="1"/>
  <c r="AK138" i="6"/>
  <c r="AU138" i="6" s="1"/>
  <c r="AK137" i="6"/>
  <c r="AM137" i="6" s="1"/>
  <c r="AQ137" i="6" s="1"/>
  <c r="AK136" i="6"/>
  <c r="AU136" i="6" s="1"/>
  <c r="AK135" i="6"/>
  <c r="AU135" i="6" s="1"/>
  <c r="AK134" i="6"/>
  <c r="AK133" i="6"/>
  <c r="AU133" i="6" s="1"/>
  <c r="AK132" i="6"/>
  <c r="AU132" i="6" s="1"/>
  <c r="AK131" i="6"/>
  <c r="AU131" i="6" s="1"/>
  <c r="AK130" i="6"/>
  <c r="AM130" i="6" s="1"/>
  <c r="AQ130" i="6" s="1"/>
  <c r="AY130" i="6" s="1"/>
  <c r="AK129" i="6"/>
  <c r="AK128" i="6"/>
  <c r="AU128" i="6" s="1"/>
  <c r="AK127" i="6"/>
  <c r="AU127" i="6" s="1"/>
  <c r="AK126" i="6"/>
  <c r="AM126" i="6" s="1"/>
  <c r="AQ126" i="6" s="1"/>
  <c r="AK125" i="6"/>
  <c r="AM125" i="6" s="1"/>
  <c r="AQ125" i="6" s="1"/>
  <c r="AK124" i="6"/>
  <c r="AK123" i="6"/>
  <c r="AU123" i="6" s="1"/>
  <c r="AK122" i="6"/>
  <c r="AU122" i="6" s="1"/>
  <c r="AK121" i="6"/>
  <c r="AM121" i="6" s="1"/>
  <c r="AQ121" i="6" s="1"/>
  <c r="AK120" i="6"/>
  <c r="AU120" i="6" s="1"/>
  <c r="AK119" i="6"/>
  <c r="AU119" i="6" s="1"/>
  <c r="AK118" i="6"/>
  <c r="AM118" i="6" s="1"/>
  <c r="AQ118" i="6" s="1"/>
  <c r="AY118" i="6" s="1"/>
  <c r="AK117" i="6"/>
  <c r="AM117" i="6" s="1"/>
  <c r="AQ117" i="6" s="1"/>
  <c r="AK116" i="6"/>
  <c r="AU116" i="6" s="1"/>
  <c r="AK115" i="6"/>
  <c r="AU115" i="6" s="1"/>
  <c r="AK114" i="6"/>
  <c r="AU114" i="6" s="1"/>
  <c r="AK113" i="6"/>
  <c r="AU113" i="6" s="1"/>
  <c r="AK112" i="6"/>
  <c r="AU112" i="6" s="1"/>
  <c r="AK111" i="6"/>
  <c r="AU111" i="6" s="1"/>
  <c r="AK110" i="6"/>
  <c r="AU110" i="6" s="1"/>
  <c r="AK109" i="6"/>
  <c r="AM109" i="6" s="1"/>
  <c r="AQ109" i="6" s="1"/>
  <c r="AK108" i="6"/>
  <c r="AU108" i="6" s="1"/>
  <c r="AK107" i="6"/>
  <c r="AU107" i="6" s="1"/>
  <c r="AK106" i="6"/>
  <c r="AU106" i="6" s="1"/>
  <c r="AK105" i="6"/>
  <c r="AM105" i="6" s="1"/>
  <c r="AQ105" i="6" s="1"/>
  <c r="AK104" i="6"/>
  <c r="AU104" i="6" s="1"/>
  <c r="AK103" i="6"/>
  <c r="AU103" i="6" s="1"/>
  <c r="AK102" i="6"/>
  <c r="AU102" i="6" s="1"/>
  <c r="AK101" i="6"/>
  <c r="AU101" i="6" s="1"/>
  <c r="AK100" i="6"/>
  <c r="AU100" i="6" s="1"/>
  <c r="AK99" i="6"/>
  <c r="AU99" i="6" s="1"/>
  <c r="AK98" i="6"/>
  <c r="AU98" i="6" s="1"/>
  <c r="AK97" i="6"/>
  <c r="AU97" i="6" s="1"/>
  <c r="AK96" i="6"/>
  <c r="AU96" i="6" s="1"/>
  <c r="AK92" i="6"/>
  <c r="AU92" i="6" s="1"/>
  <c r="AK91" i="6"/>
  <c r="AU91" i="6" s="1"/>
  <c r="AK90" i="6"/>
  <c r="AK89" i="6"/>
  <c r="AK88" i="6"/>
  <c r="AU88" i="6" s="1"/>
  <c r="AK87" i="6"/>
  <c r="AU87" i="6" s="1"/>
  <c r="AK86" i="6"/>
  <c r="AK85" i="6"/>
  <c r="AU85" i="6" s="1"/>
  <c r="AK84" i="6"/>
  <c r="AU84" i="6" s="1"/>
  <c r="AK83" i="6"/>
  <c r="AU83" i="6" s="1"/>
  <c r="AK82" i="6"/>
  <c r="AU82" i="6" s="1"/>
  <c r="AK81" i="6"/>
  <c r="AU81" i="6" s="1"/>
  <c r="AK80" i="6"/>
  <c r="AU80" i="6" s="1"/>
  <c r="AK79" i="6"/>
  <c r="AU79" i="6" s="1"/>
  <c r="AK78" i="6"/>
  <c r="AU78" i="6" s="1"/>
  <c r="AK77" i="6"/>
  <c r="AU77" i="6" s="1"/>
  <c r="AK76" i="6"/>
  <c r="AU76" i="6" s="1"/>
  <c r="AK75" i="6"/>
  <c r="AU75" i="6" s="1"/>
  <c r="AK74" i="6"/>
  <c r="AU74" i="6" s="1"/>
  <c r="AK73" i="6"/>
  <c r="AU73" i="6" s="1"/>
  <c r="AK72" i="6"/>
  <c r="AU72" i="6" s="1"/>
  <c r="AK71" i="6"/>
  <c r="AU71" i="6" s="1"/>
  <c r="AK70" i="6"/>
  <c r="AU70" i="6" s="1"/>
  <c r="AK69" i="6"/>
  <c r="AM69" i="6" s="1"/>
  <c r="AQ69" i="6" s="1"/>
  <c r="AK68" i="6"/>
  <c r="AU68" i="6" s="1"/>
  <c r="AK67" i="6"/>
  <c r="AU67" i="6" s="1"/>
  <c r="AK66" i="6"/>
  <c r="AM66" i="6" s="1"/>
  <c r="AQ66" i="6" s="1"/>
  <c r="AK65" i="6"/>
  <c r="AU65" i="6" s="1"/>
  <c r="AK64" i="6"/>
  <c r="AU64" i="6" s="1"/>
  <c r="AK63" i="6"/>
  <c r="AU63" i="6" s="1"/>
  <c r="AK62" i="6"/>
  <c r="AU62" i="6" s="1"/>
  <c r="AK61" i="6"/>
  <c r="AU61" i="6" s="1"/>
  <c r="AK60" i="6"/>
  <c r="AU60" i="6" s="1"/>
  <c r="AK59" i="6"/>
  <c r="AU59" i="6" s="1"/>
  <c r="AK58" i="6"/>
  <c r="AU58" i="6" s="1"/>
  <c r="AK57" i="6"/>
  <c r="AU57" i="6" s="1"/>
  <c r="AK56" i="6"/>
  <c r="AU56" i="6" s="1"/>
  <c r="AK55" i="6"/>
  <c r="AU55" i="6" s="1"/>
  <c r="AK54" i="6"/>
  <c r="AU54" i="6" s="1"/>
  <c r="AK53" i="6"/>
  <c r="AU53" i="6" s="1"/>
  <c r="AK52" i="6"/>
  <c r="AU52" i="6" s="1"/>
  <c r="AK51" i="6"/>
  <c r="AU51" i="6" s="1"/>
  <c r="AK50" i="6"/>
  <c r="AK49" i="6"/>
  <c r="AU49" i="6" s="1"/>
  <c r="AK48" i="6"/>
  <c r="AU48" i="6" s="1"/>
  <c r="AK47" i="6"/>
  <c r="AU47" i="6" s="1"/>
  <c r="AK46" i="6"/>
  <c r="AM46" i="6" s="1"/>
  <c r="AK45" i="6"/>
  <c r="AK44" i="6"/>
  <c r="AM44" i="6" s="1"/>
  <c r="AK43" i="6"/>
  <c r="AM43" i="6" s="1"/>
  <c r="AK42" i="6"/>
  <c r="AK41" i="6"/>
  <c r="AK40" i="6"/>
  <c r="AM40" i="6" s="1"/>
  <c r="AK39" i="6"/>
  <c r="AM39" i="6" s="1"/>
  <c r="AK38" i="6"/>
  <c r="AM38" i="6" s="1"/>
  <c r="AK37" i="6"/>
  <c r="AM37" i="6" s="1"/>
  <c r="AK36" i="6"/>
  <c r="AM36" i="6" s="1"/>
  <c r="AK35" i="6"/>
  <c r="AK34" i="6"/>
  <c r="AK33" i="6"/>
  <c r="AM33" i="6" s="1"/>
  <c r="AK32" i="6"/>
  <c r="AM32" i="6" s="1"/>
  <c r="AK31" i="6"/>
  <c r="AM31" i="6" s="1"/>
  <c r="AK30" i="6"/>
  <c r="AM30" i="6" s="1"/>
  <c r="AK29" i="6"/>
  <c r="AM29" i="6" s="1"/>
  <c r="AK28" i="6"/>
  <c r="AM28" i="6" s="1"/>
  <c r="AK27" i="6"/>
  <c r="AM27" i="6" s="1"/>
  <c r="AK26" i="6"/>
  <c r="AK25" i="6"/>
  <c r="AK24" i="6"/>
  <c r="AM24" i="6" s="1"/>
  <c r="AK23" i="6"/>
  <c r="AK22" i="6"/>
  <c r="AM22" i="6" s="1"/>
  <c r="AK21" i="6"/>
  <c r="AM21" i="6" s="1"/>
  <c r="AK20" i="6"/>
  <c r="AK19" i="6"/>
  <c r="AM19" i="6" s="1"/>
  <c r="AK18" i="6"/>
  <c r="AM18" i="6" s="1"/>
  <c r="AK17" i="6"/>
  <c r="AM17" i="6" s="1"/>
  <c r="AK16" i="6"/>
  <c r="AM16" i="6" s="1"/>
  <c r="AK14" i="6"/>
  <c r="AM14" i="6" s="1"/>
  <c r="AK13" i="6"/>
  <c r="AM13" i="6" s="1"/>
  <c r="AK12" i="6"/>
  <c r="AM12" i="6" s="1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AY132" i="6" s="1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AS110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2" i="6"/>
  <c r="O91" i="6"/>
  <c r="AS91" i="6" s="1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AS75" i="6" s="1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4" i="6"/>
  <c r="O13" i="6"/>
  <c r="O12" i="6"/>
  <c r="O15" i="6"/>
  <c r="AY57" i="6" l="1"/>
  <c r="AW57" i="6"/>
  <c r="AY65" i="6"/>
  <c r="AW65" i="6"/>
  <c r="AS65" i="6"/>
  <c r="AY73" i="6"/>
  <c r="AS73" i="6"/>
  <c r="AY81" i="6"/>
  <c r="AW81" i="6"/>
  <c r="AS81" i="6"/>
  <c r="AS96" i="6"/>
  <c r="AY112" i="6"/>
  <c r="AS120" i="6"/>
  <c r="AS128" i="6"/>
  <c r="AY128" i="6"/>
  <c r="AS136" i="6"/>
  <c r="AW144" i="6"/>
  <c r="AY144" i="6"/>
  <c r="AS144" i="6"/>
  <c r="AM52" i="6"/>
  <c r="AQ52" i="6" s="1"/>
  <c r="AM60" i="6"/>
  <c r="AQ60" i="6" s="1"/>
  <c r="AY60" i="6" s="1"/>
  <c r="AM68" i="6"/>
  <c r="AQ68" i="6" s="1"/>
  <c r="AY68" i="6" s="1"/>
  <c r="AM76" i="6"/>
  <c r="AQ76" i="6" s="1"/>
  <c r="AY76" i="6" s="1"/>
  <c r="AM92" i="6"/>
  <c r="AQ92" i="6" s="1"/>
  <c r="AY92" i="6" s="1"/>
  <c r="AM111" i="6"/>
  <c r="AQ111" i="6" s="1"/>
  <c r="AM119" i="6"/>
  <c r="AQ119" i="6" s="1"/>
  <c r="AM127" i="6"/>
  <c r="AQ127" i="6" s="1"/>
  <c r="AY127" i="6" s="1"/>
  <c r="AM135" i="6"/>
  <c r="AQ135" i="6" s="1"/>
  <c r="AY135" i="6" s="1"/>
  <c r="AM143" i="6"/>
  <c r="AQ143" i="6" s="1"/>
  <c r="AW127" i="6"/>
  <c r="AS112" i="6"/>
  <c r="AW96" i="6"/>
  <c r="AS54" i="6"/>
  <c r="AY54" i="6"/>
  <c r="AS58" i="6"/>
  <c r="AS62" i="6"/>
  <c r="AY62" i="6"/>
  <c r="AS66" i="6"/>
  <c r="AW66" i="6"/>
  <c r="AS70" i="6"/>
  <c r="AS97" i="6"/>
  <c r="AW101" i="6"/>
  <c r="AS101" i="6"/>
  <c r="AW105" i="6"/>
  <c r="AY105" i="6"/>
  <c r="AW109" i="6"/>
  <c r="AS109" i="6"/>
  <c r="AY109" i="6"/>
  <c r="AS113" i="6"/>
  <c r="AW117" i="6"/>
  <c r="AY117" i="6"/>
  <c r="AS117" i="6"/>
  <c r="AY121" i="6"/>
  <c r="AW121" i="6"/>
  <c r="AY125" i="6"/>
  <c r="AW125" i="6"/>
  <c r="AS125" i="6"/>
  <c r="AY133" i="6"/>
  <c r="AS133" i="6"/>
  <c r="AY137" i="6"/>
  <c r="AW137" i="6"/>
  <c r="AW145" i="6"/>
  <c r="AM53" i="6"/>
  <c r="AQ53" i="6" s="1"/>
  <c r="AY53" i="6" s="1"/>
  <c r="AM61" i="6"/>
  <c r="AQ61" i="6" s="1"/>
  <c r="AM77" i="6"/>
  <c r="AQ77" i="6" s="1"/>
  <c r="AM85" i="6"/>
  <c r="AQ85" i="6" s="1"/>
  <c r="AY85" i="6" s="1"/>
  <c r="AM96" i="6"/>
  <c r="AQ96" i="6" s="1"/>
  <c r="AY96" i="6" s="1"/>
  <c r="AM112" i="6"/>
  <c r="AQ112" i="6" s="1"/>
  <c r="AM120" i="6"/>
  <c r="AQ120" i="6" s="1"/>
  <c r="AY120" i="6" s="1"/>
  <c r="AM128" i="6"/>
  <c r="AQ128" i="6" s="1"/>
  <c r="AM136" i="6"/>
  <c r="AQ136" i="6" s="1"/>
  <c r="AY136" i="6" s="1"/>
  <c r="AW146" i="6"/>
  <c r="AS137" i="6"/>
  <c r="AY66" i="6"/>
  <c r="AS53" i="6"/>
  <c r="AW53" i="6"/>
  <c r="AY61" i="6"/>
  <c r="AS61" i="6"/>
  <c r="AW61" i="6"/>
  <c r="AY69" i="6"/>
  <c r="AW69" i="6"/>
  <c r="AS69" i="6"/>
  <c r="AY77" i="6"/>
  <c r="AS77" i="6"/>
  <c r="AW77" i="6"/>
  <c r="AY89" i="6"/>
  <c r="AS89" i="6"/>
  <c r="AW89" i="6"/>
  <c r="AY116" i="6"/>
  <c r="AW116" i="6"/>
  <c r="AS116" i="6"/>
  <c r="AS124" i="6"/>
  <c r="AW124" i="6"/>
  <c r="AY124" i="6"/>
  <c r="AS132" i="6"/>
  <c r="AW132" i="6"/>
  <c r="AS140" i="6"/>
  <c r="AW140" i="6"/>
  <c r="AY140" i="6"/>
  <c r="AM56" i="6"/>
  <c r="AQ56" i="6" s="1"/>
  <c r="AM64" i="6"/>
  <c r="AQ64" i="6" s="1"/>
  <c r="AM72" i="6"/>
  <c r="AQ72" i="6" s="1"/>
  <c r="AM80" i="6"/>
  <c r="AQ80" i="6" s="1"/>
  <c r="AM99" i="6"/>
  <c r="AQ99" i="6" s="1"/>
  <c r="AM107" i="6"/>
  <c r="AQ107" i="6" s="1"/>
  <c r="AW147" i="6"/>
  <c r="AW73" i="6"/>
  <c r="AS57" i="6"/>
  <c r="AW52" i="6"/>
  <c r="AS52" i="6"/>
  <c r="AY52" i="6"/>
  <c r="AW56" i="6"/>
  <c r="AS56" i="6"/>
  <c r="AY56" i="6"/>
  <c r="AS60" i="6"/>
  <c r="AW64" i="6"/>
  <c r="AS64" i="6"/>
  <c r="AY64" i="6"/>
  <c r="AS68" i="6"/>
  <c r="AW68" i="6"/>
  <c r="AS72" i="6"/>
  <c r="AY72" i="6"/>
  <c r="AW72" i="6"/>
  <c r="AS76" i="6"/>
  <c r="AW76" i="6"/>
  <c r="AS80" i="6"/>
  <c r="AY80" i="6"/>
  <c r="AS92" i="6"/>
  <c r="AW92" i="6"/>
  <c r="AS99" i="6"/>
  <c r="AY99" i="6"/>
  <c r="AS107" i="6"/>
  <c r="AW107" i="6"/>
  <c r="AS111" i="6"/>
  <c r="AY111" i="6"/>
  <c r="AS115" i="6"/>
  <c r="AW115" i="6"/>
  <c r="AY115" i="6"/>
  <c r="AS119" i="6"/>
  <c r="AW119" i="6"/>
  <c r="AY119" i="6"/>
  <c r="AS127" i="6"/>
  <c r="AS131" i="6"/>
  <c r="AW131" i="6"/>
  <c r="AS135" i="6"/>
  <c r="AW135" i="6"/>
  <c r="AY143" i="6"/>
  <c r="AS143" i="6"/>
  <c r="AY147" i="6"/>
  <c r="AS147" i="6"/>
  <c r="AW128" i="6"/>
  <c r="AY107" i="6"/>
  <c r="AS85" i="6"/>
  <c r="AS51" i="6"/>
  <c r="AS59" i="6"/>
  <c r="AS79" i="6"/>
  <c r="AW79" i="6"/>
  <c r="AW98" i="6"/>
  <c r="AW114" i="6"/>
  <c r="AW118" i="6"/>
  <c r="AW126" i="6"/>
  <c r="AW130" i="6"/>
  <c r="AW138" i="6"/>
  <c r="AM54" i="6"/>
  <c r="AQ54" i="6" s="1"/>
  <c r="AM58" i="6"/>
  <c r="AQ58" i="6" s="1"/>
  <c r="AY58" i="6" s="1"/>
  <c r="AM62" i="6"/>
  <c r="AQ62" i="6" s="1"/>
  <c r="AM70" i="6"/>
  <c r="AQ70" i="6" s="1"/>
  <c r="AY70" i="6" s="1"/>
  <c r="AM97" i="6"/>
  <c r="AQ97" i="6" s="1"/>
  <c r="AY97" i="6" s="1"/>
  <c r="AM101" i="6"/>
  <c r="AQ101" i="6" s="1"/>
  <c r="AY101" i="6" s="1"/>
  <c r="AM113" i="6"/>
  <c r="AQ113" i="6" s="1"/>
  <c r="AY113" i="6" s="1"/>
  <c r="AM133" i="6"/>
  <c r="AQ133" i="6" s="1"/>
  <c r="AU146" i="6"/>
  <c r="AU142" i="6"/>
  <c r="AY138" i="6"/>
  <c r="AU134" i="6"/>
  <c r="AS130" i="6"/>
  <c r="AU118" i="6"/>
  <c r="AS114" i="6"/>
  <c r="AY98" i="6"/>
  <c r="AM47" i="6"/>
  <c r="AM51" i="6"/>
  <c r="AQ51" i="6" s="1"/>
  <c r="AY51" i="6" s="1"/>
  <c r="AM59" i="6"/>
  <c r="AQ59" i="6" s="1"/>
  <c r="AY59" i="6" s="1"/>
  <c r="AM63" i="6"/>
  <c r="AM75" i="6"/>
  <c r="AQ75" i="6" s="1"/>
  <c r="AY75" i="6" s="1"/>
  <c r="AM79" i="6"/>
  <c r="AQ79" i="6" s="1"/>
  <c r="AY79" i="6" s="1"/>
  <c r="AM83" i="6"/>
  <c r="AM91" i="6"/>
  <c r="AQ91" i="6" s="1"/>
  <c r="AY91" i="6" s="1"/>
  <c r="AM98" i="6"/>
  <c r="AQ98" i="6" s="1"/>
  <c r="AM102" i="6"/>
  <c r="AQ102" i="6" s="1"/>
  <c r="AY102" i="6" s="1"/>
  <c r="AM110" i="6"/>
  <c r="AM114" i="6"/>
  <c r="AQ114" i="6" s="1"/>
  <c r="AY114" i="6" s="1"/>
  <c r="AM122" i="6"/>
  <c r="AQ122" i="6" s="1"/>
  <c r="AY122" i="6" s="1"/>
  <c r="AM138" i="6"/>
  <c r="AQ138" i="6" s="1"/>
  <c r="AY126" i="6"/>
  <c r="AS118" i="6"/>
  <c r="AW102" i="6"/>
  <c r="AS98" i="6"/>
  <c r="AL572" i="2"/>
  <c r="AL580" i="2"/>
  <c r="AL588" i="2"/>
  <c r="AL623" i="2"/>
  <c r="AL655" i="2"/>
  <c r="AM563" i="2"/>
  <c r="AM564" i="2"/>
  <c r="AM565" i="2"/>
  <c r="AO565" i="2" s="1"/>
  <c r="AM566" i="2"/>
  <c r="AO566" i="2" s="1"/>
  <c r="AM567" i="2"/>
  <c r="AO567" i="2" s="1"/>
  <c r="AM568" i="2"/>
  <c r="AM569" i="2"/>
  <c r="AM570" i="2"/>
  <c r="AO570" i="2" s="1"/>
  <c r="AM571" i="2"/>
  <c r="AM572" i="2"/>
  <c r="AM573" i="2"/>
  <c r="AM574" i="2"/>
  <c r="AO574" i="2" s="1"/>
  <c r="AM575" i="2"/>
  <c r="AM576" i="2"/>
  <c r="AM577" i="2"/>
  <c r="AM578" i="2"/>
  <c r="AM579" i="2"/>
  <c r="AM580" i="2"/>
  <c r="AM581" i="2"/>
  <c r="AM582" i="2"/>
  <c r="AO582" i="2" s="1"/>
  <c r="AM583" i="2"/>
  <c r="AM584" i="2"/>
  <c r="AM585" i="2"/>
  <c r="AM586" i="2"/>
  <c r="AO586" i="2" s="1"/>
  <c r="AM587" i="2"/>
  <c r="AM588" i="2"/>
  <c r="AM589" i="2"/>
  <c r="AM590" i="2"/>
  <c r="AO590" i="2" s="1"/>
  <c r="AM594" i="2"/>
  <c r="AM595" i="2"/>
  <c r="AM596" i="2"/>
  <c r="AM597" i="2"/>
  <c r="AO597" i="2" s="1"/>
  <c r="AM598" i="2"/>
  <c r="AM599" i="2"/>
  <c r="AM600" i="2"/>
  <c r="AO600" i="2" s="1"/>
  <c r="AM601" i="2"/>
  <c r="AO601" i="2" s="1"/>
  <c r="AM602" i="2"/>
  <c r="AM603" i="2"/>
  <c r="AM604" i="2"/>
  <c r="AM605" i="2"/>
  <c r="AO605" i="2" s="1"/>
  <c r="AM606" i="2"/>
  <c r="AM607" i="2"/>
  <c r="AM608" i="2"/>
  <c r="AO608" i="2" s="1"/>
  <c r="AM609" i="2"/>
  <c r="AO609" i="2" s="1"/>
  <c r="AM610" i="2"/>
  <c r="AM611" i="2"/>
  <c r="AM612" i="2"/>
  <c r="AM613" i="2"/>
  <c r="AO613" i="2" s="1"/>
  <c r="AM614" i="2"/>
  <c r="AM615" i="2"/>
  <c r="AM616" i="2"/>
  <c r="AM617" i="2"/>
  <c r="AO617" i="2" s="1"/>
  <c r="AM618" i="2"/>
  <c r="AM619" i="2"/>
  <c r="AM620" i="2"/>
  <c r="AM621" i="2"/>
  <c r="AO621" i="2" s="1"/>
  <c r="AM622" i="2"/>
  <c r="AM623" i="2"/>
  <c r="AM624" i="2"/>
  <c r="AM625" i="2"/>
  <c r="AM626" i="2"/>
  <c r="AO626" i="2" s="1"/>
  <c r="AM627" i="2"/>
  <c r="AM628" i="2"/>
  <c r="AO628" i="2" s="1"/>
  <c r="AM629" i="2"/>
  <c r="AO629" i="2" s="1"/>
  <c r="AM630" i="2"/>
  <c r="AM631" i="2"/>
  <c r="AM632" i="2"/>
  <c r="AM633" i="2"/>
  <c r="AO633" i="2" s="1"/>
  <c r="AM634" i="2"/>
  <c r="AM635" i="2"/>
  <c r="AM636" i="2"/>
  <c r="AM637" i="2"/>
  <c r="AO637" i="2" s="1"/>
  <c r="AM638" i="2"/>
  <c r="AO638" i="2" s="1"/>
  <c r="AM639" i="2"/>
  <c r="AM640" i="2"/>
  <c r="AM641" i="2"/>
  <c r="AO641" i="2" s="1"/>
  <c r="AM642" i="2"/>
  <c r="AM643" i="2"/>
  <c r="AM644" i="2"/>
  <c r="AO644" i="2" s="1"/>
  <c r="AM645" i="2"/>
  <c r="AO645" i="2" s="1"/>
  <c r="AM646" i="2"/>
  <c r="AM647" i="2"/>
  <c r="AM648" i="2"/>
  <c r="AM649" i="2"/>
  <c r="AO649" i="2" s="1"/>
  <c r="AM650" i="2"/>
  <c r="AO650" i="2" s="1"/>
  <c r="AM651" i="2"/>
  <c r="AM652" i="2"/>
  <c r="AM653" i="2"/>
  <c r="AO653" i="2" s="1"/>
  <c r="AM654" i="2"/>
  <c r="AM655" i="2"/>
  <c r="AM659" i="2"/>
  <c r="AM660" i="2"/>
  <c r="AO660" i="2" s="1"/>
  <c r="AM661" i="2"/>
  <c r="AO661" i="2" s="1"/>
  <c r="AM662" i="2"/>
  <c r="AM663" i="2"/>
  <c r="AO663" i="2" s="1"/>
  <c r="AM664" i="2"/>
  <c r="AO664" i="2" s="1"/>
  <c r="AM665" i="2"/>
  <c r="AM666" i="2"/>
  <c r="AM667" i="2"/>
  <c r="AM668" i="2"/>
  <c r="AO668" i="2" s="1"/>
  <c r="AM669" i="2"/>
  <c r="AM670" i="2"/>
  <c r="AM671" i="2"/>
  <c r="AM672" i="2"/>
  <c r="AO672" i="2" s="1"/>
  <c r="AM673" i="2"/>
  <c r="AM674" i="2"/>
  <c r="AM675" i="2"/>
  <c r="AM676" i="2"/>
  <c r="AO676" i="2" s="1"/>
  <c r="AM677" i="2"/>
  <c r="AM678" i="2"/>
  <c r="AM679" i="2"/>
  <c r="AO679" i="2" s="1"/>
  <c r="AM680" i="2"/>
  <c r="AO680" i="2" s="1"/>
  <c r="AM681" i="2"/>
  <c r="AM682" i="2"/>
  <c r="AL387" i="2"/>
  <c r="AL471" i="2"/>
  <c r="AM387" i="2"/>
  <c r="AM388" i="2"/>
  <c r="AM389" i="2"/>
  <c r="AO389" i="2" s="1"/>
  <c r="AM390" i="2"/>
  <c r="AM391" i="2"/>
  <c r="AM392" i="2"/>
  <c r="AM393" i="2"/>
  <c r="AO393" i="2" s="1"/>
  <c r="AM394" i="2"/>
  <c r="AM395" i="2"/>
  <c r="AM399" i="2"/>
  <c r="AM400" i="2"/>
  <c r="AO400" i="2" s="1"/>
  <c r="AM401" i="2"/>
  <c r="AM402" i="2"/>
  <c r="AM403" i="2"/>
  <c r="AM404" i="2"/>
  <c r="AM405" i="2"/>
  <c r="AM406" i="2"/>
  <c r="AO406" i="2" s="1"/>
  <c r="AM407" i="2"/>
  <c r="AO407" i="2" s="1"/>
  <c r="AM408" i="2"/>
  <c r="AM409" i="2"/>
  <c r="AM410" i="2"/>
  <c r="AO410" i="2" s="1"/>
  <c r="AM411" i="2"/>
  <c r="AM412" i="2"/>
  <c r="AO412" i="2" s="1"/>
  <c r="AM413" i="2"/>
  <c r="AM414" i="2"/>
  <c r="AO414" i="2" s="1"/>
  <c r="AM415" i="2"/>
  <c r="AO415" i="2" s="1"/>
  <c r="AM416" i="2"/>
  <c r="AO416" i="2" s="1"/>
  <c r="AM417" i="2"/>
  <c r="AM418" i="2"/>
  <c r="AO418" i="2" s="1"/>
  <c r="AM419" i="2"/>
  <c r="AM420" i="2"/>
  <c r="AO420" i="2" s="1"/>
  <c r="AM421" i="2"/>
  <c r="AO421" i="2" s="1"/>
  <c r="AM422" i="2"/>
  <c r="AO422" i="2" s="1"/>
  <c r="AM423" i="2"/>
  <c r="AO423" i="2" s="1"/>
  <c r="AM424" i="2"/>
  <c r="AO424" i="2" s="1"/>
  <c r="AM425" i="2"/>
  <c r="AM426" i="2"/>
  <c r="AO426" i="2" s="1"/>
  <c r="AM427" i="2"/>
  <c r="AM428" i="2"/>
  <c r="AM429" i="2"/>
  <c r="AM430" i="2"/>
  <c r="AO430" i="2" s="1"/>
  <c r="AM431" i="2"/>
  <c r="AM432" i="2"/>
  <c r="AM433" i="2"/>
  <c r="AM434" i="2"/>
  <c r="AO434" i="2" s="1"/>
  <c r="AM435" i="2"/>
  <c r="AM436" i="2"/>
  <c r="AM437" i="2"/>
  <c r="AM438" i="2"/>
  <c r="AO438" i="2" s="1"/>
  <c r="AM439" i="2"/>
  <c r="AM440" i="2"/>
  <c r="AO440" i="2" s="1"/>
  <c r="AM441" i="2"/>
  <c r="AM442" i="2"/>
  <c r="AO442" i="2" s="1"/>
  <c r="AM443" i="2"/>
  <c r="AM444" i="2"/>
  <c r="AO444" i="2" s="1"/>
  <c r="AM445" i="2"/>
  <c r="AM446" i="2"/>
  <c r="AO446" i="2" s="1"/>
  <c r="AM447" i="2"/>
  <c r="AO447" i="2" s="1"/>
  <c r="AM448" i="2"/>
  <c r="AO448" i="2" s="1"/>
  <c r="AM449" i="2"/>
  <c r="AM450" i="2"/>
  <c r="AO450" i="2" s="1"/>
  <c r="AM451" i="2"/>
  <c r="AM452" i="2"/>
  <c r="AO452" i="2" s="1"/>
  <c r="AM453" i="2"/>
  <c r="AO453" i="2" s="1"/>
  <c r="AM454" i="2"/>
  <c r="AO454" i="2" s="1"/>
  <c r="AM455" i="2"/>
  <c r="AO455" i="2" s="1"/>
  <c r="AM456" i="2"/>
  <c r="AO456" i="2" s="1"/>
  <c r="AM457" i="2"/>
  <c r="AO457" i="2" s="1"/>
  <c r="AM458" i="2"/>
  <c r="AO458" i="2" s="1"/>
  <c r="AM459" i="2"/>
  <c r="AM460" i="2"/>
  <c r="AO460" i="2" s="1"/>
  <c r="AM464" i="2"/>
  <c r="AM465" i="2"/>
  <c r="AO465" i="2" s="1"/>
  <c r="AM466" i="2"/>
  <c r="AM467" i="2"/>
  <c r="AO467" i="2" s="1"/>
  <c r="AM468" i="2"/>
  <c r="AM469" i="2"/>
  <c r="AO469" i="2" s="1"/>
  <c r="AM470" i="2"/>
  <c r="AM471" i="2"/>
  <c r="AO471" i="2" s="1"/>
  <c r="AM472" i="2"/>
  <c r="AM473" i="2"/>
  <c r="AO473" i="2" s="1"/>
  <c r="AM474" i="2"/>
  <c r="AO474" i="2" s="1"/>
  <c r="AM475" i="2"/>
  <c r="AO475" i="2" s="1"/>
  <c r="AM476" i="2"/>
  <c r="AM477" i="2"/>
  <c r="AO477" i="2" s="1"/>
  <c r="AM478" i="2"/>
  <c r="AM479" i="2"/>
  <c r="AO479" i="2" s="1"/>
  <c r="AM480" i="2"/>
  <c r="AM481" i="2"/>
  <c r="AO481" i="2" s="1"/>
  <c r="AM482" i="2"/>
  <c r="AO482" i="2" s="1"/>
  <c r="AM483" i="2"/>
  <c r="AO483" i="2" s="1"/>
  <c r="AM484" i="2"/>
  <c r="AM485" i="2"/>
  <c r="AO485" i="2" s="1"/>
  <c r="AM486" i="2"/>
  <c r="AM487" i="2"/>
  <c r="AO487" i="2" s="1"/>
  <c r="AM488" i="2"/>
  <c r="AO488" i="2" s="1"/>
  <c r="AM489" i="2"/>
  <c r="AO489" i="2" s="1"/>
  <c r="AM490" i="2"/>
  <c r="AO490" i="2" s="1"/>
  <c r="AM491" i="2"/>
  <c r="AO491" i="2" s="1"/>
  <c r="AM492" i="2"/>
  <c r="AO492" i="2" s="1"/>
  <c r="AM493" i="2"/>
  <c r="AO493" i="2" s="1"/>
  <c r="AM494" i="2"/>
  <c r="AM495" i="2"/>
  <c r="AO495" i="2" s="1"/>
  <c r="AM496" i="2"/>
  <c r="AM497" i="2"/>
  <c r="AO497" i="2" s="1"/>
  <c r="AM498" i="2"/>
  <c r="AM499" i="2"/>
  <c r="AO499" i="2" s="1"/>
  <c r="AM500" i="2"/>
  <c r="AM501" i="2"/>
  <c r="AO501" i="2" s="1"/>
  <c r="AM502" i="2"/>
  <c r="AM503" i="2"/>
  <c r="AO503" i="2" s="1"/>
  <c r="AM504" i="2"/>
  <c r="AM505" i="2"/>
  <c r="AO505" i="2" s="1"/>
  <c r="AM506" i="2"/>
  <c r="AM507" i="2"/>
  <c r="AO507" i="2" s="1"/>
  <c r="AM508" i="2"/>
  <c r="AM509" i="2"/>
  <c r="AO509" i="2" s="1"/>
  <c r="AM510" i="2"/>
  <c r="AM511" i="2"/>
  <c r="AO511" i="2" s="1"/>
  <c r="AM512" i="2"/>
  <c r="AM513" i="2"/>
  <c r="AO513" i="2" s="1"/>
  <c r="AM514" i="2"/>
  <c r="AO514" i="2" s="1"/>
  <c r="AM515" i="2"/>
  <c r="AO515" i="2" s="1"/>
  <c r="AM516" i="2"/>
  <c r="AM517" i="2"/>
  <c r="AO517" i="2" s="1"/>
  <c r="AM518" i="2"/>
  <c r="AO518" i="2" s="1"/>
  <c r="AM519" i="2"/>
  <c r="AO519" i="2" s="1"/>
  <c r="AM520" i="2"/>
  <c r="AM521" i="2"/>
  <c r="AO521" i="2" s="1"/>
  <c r="AM522" i="2"/>
  <c r="AO522" i="2" s="1"/>
  <c r="AM523" i="2"/>
  <c r="AO523" i="2" s="1"/>
  <c r="AM524" i="2"/>
  <c r="AO524" i="2" s="1"/>
  <c r="AM525" i="2"/>
  <c r="AO525" i="2" s="1"/>
  <c r="AM529" i="2"/>
  <c r="AM530" i="2"/>
  <c r="AO530" i="2" s="1"/>
  <c r="AM531" i="2"/>
  <c r="AM532" i="2"/>
  <c r="AO532" i="2" s="1"/>
  <c r="AM533" i="2"/>
  <c r="AM534" i="2"/>
  <c r="AO534" i="2" s="1"/>
  <c r="AM535" i="2"/>
  <c r="AM536" i="2"/>
  <c r="AM537" i="2"/>
  <c r="AO537" i="2" s="1"/>
  <c r="AM538" i="2"/>
  <c r="AO538" i="2" s="1"/>
  <c r="AM539" i="2"/>
  <c r="AM540" i="2"/>
  <c r="AM541" i="2"/>
  <c r="AM542" i="2"/>
  <c r="AO542" i="2" s="1"/>
  <c r="AM543" i="2"/>
  <c r="AM544" i="2"/>
  <c r="AM545" i="2"/>
  <c r="AM546" i="2"/>
  <c r="AO546" i="2" s="1"/>
  <c r="AM547" i="2"/>
  <c r="AM548" i="2"/>
  <c r="AM549" i="2"/>
  <c r="AM550" i="2"/>
  <c r="AO550" i="2" s="1"/>
  <c r="AM551" i="2"/>
  <c r="AO551" i="2" s="1"/>
  <c r="AM552" i="2"/>
  <c r="AM553" i="2"/>
  <c r="AM554" i="2"/>
  <c r="AO554" i="2" s="1"/>
  <c r="AM555" i="2"/>
  <c r="AM556" i="2"/>
  <c r="AM557" i="2"/>
  <c r="AM558" i="2"/>
  <c r="AO558" i="2" s="1"/>
  <c r="AM559" i="2"/>
  <c r="AO559" i="2" s="1"/>
  <c r="AM560" i="2"/>
  <c r="AM561" i="2"/>
  <c r="AM562" i="2"/>
  <c r="AO562" i="2" s="1"/>
  <c r="AO578" i="2"/>
  <c r="AO625" i="2"/>
  <c r="AN387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8" i="2"/>
  <c r="AN389" i="2"/>
  <c r="AN390" i="2"/>
  <c r="AN391" i="2"/>
  <c r="AN392" i="2"/>
  <c r="AN393" i="2"/>
  <c r="AN394" i="2"/>
  <c r="AN395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O564" i="2" s="1"/>
  <c r="AN565" i="2"/>
  <c r="AN566" i="2"/>
  <c r="AN567" i="2"/>
  <c r="AN568" i="2"/>
  <c r="AO568" i="2" s="1"/>
  <c r="AN569" i="2"/>
  <c r="AN570" i="2"/>
  <c r="AN571" i="2"/>
  <c r="AN572" i="2"/>
  <c r="AO572" i="2" s="1"/>
  <c r="AN573" i="2"/>
  <c r="AN574" i="2"/>
  <c r="AN575" i="2"/>
  <c r="AN576" i="2"/>
  <c r="AO576" i="2" s="1"/>
  <c r="AN577" i="2"/>
  <c r="AN578" i="2"/>
  <c r="AN579" i="2"/>
  <c r="AN580" i="2"/>
  <c r="AO580" i="2" s="1"/>
  <c r="AN581" i="2"/>
  <c r="AN582" i="2"/>
  <c r="AN583" i="2"/>
  <c r="AN584" i="2"/>
  <c r="AO584" i="2" s="1"/>
  <c r="AN585" i="2"/>
  <c r="AN586" i="2"/>
  <c r="AN587" i="2"/>
  <c r="AN588" i="2"/>
  <c r="AO588" i="2" s="1"/>
  <c r="AN589" i="2"/>
  <c r="AN590" i="2"/>
  <c r="AN594" i="2"/>
  <c r="AN595" i="2"/>
  <c r="AO595" i="2" s="1"/>
  <c r="AN596" i="2"/>
  <c r="AN597" i="2"/>
  <c r="AN598" i="2"/>
  <c r="AN599" i="2"/>
  <c r="AO599" i="2" s="1"/>
  <c r="AN600" i="2"/>
  <c r="AN601" i="2"/>
  <c r="AN602" i="2"/>
  <c r="AN603" i="2"/>
  <c r="AO603" i="2" s="1"/>
  <c r="AN604" i="2"/>
  <c r="AN605" i="2"/>
  <c r="AN606" i="2"/>
  <c r="AN607" i="2"/>
  <c r="AO607" i="2" s="1"/>
  <c r="AN608" i="2"/>
  <c r="AN609" i="2"/>
  <c r="AN610" i="2"/>
  <c r="AN611" i="2"/>
  <c r="AO611" i="2" s="1"/>
  <c r="AN612" i="2"/>
  <c r="AN613" i="2"/>
  <c r="AN614" i="2"/>
  <c r="AN615" i="2"/>
  <c r="AO615" i="2" s="1"/>
  <c r="AN616" i="2"/>
  <c r="AN617" i="2"/>
  <c r="AN618" i="2"/>
  <c r="AN619" i="2"/>
  <c r="AN620" i="2"/>
  <c r="AN621" i="2"/>
  <c r="AN622" i="2"/>
  <c r="AN623" i="2"/>
  <c r="AO623" i="2" s="1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M10" i="2"/>
  <c r="AM11" i="2"/>
  <c r="AO11" i="2" s="1"/>
  <c r="AM12" i="2"/>
  <c r="AM13" i="2"/>
  <c r="AM14" i="2"/>
  <c r="AM15" i="2"/>
  <c r="AO15" i="2" s="1"/>
  <c r="AM16" i="2"/>
  <c r="AM17" i="2"/>
  <c r="AM18" i="2"/>
  <c r="AM19" i="2"/>
  <c r="AO19" i="2" s="1"/>
  <c r="AM20" i="2"/>
  <c r="AM21" i="2"/>
  <c r="AM22" i="2"/>
  <c r="AM23" i="2"/>
  <c r="AO23" i="2" s="1"/>
  <c r="AM24" i="2"/>
  <c r="AO24" i="2" s="1"/>
  <c r="AM25" i="2"/>
  <c r="AM26" i="2"/>
  <c r="AM27" i="2"/>
  <c r="AO27" i="2" s="1"/>
  <c r="AM28" i="2"/>
  <c r="AM29" i="2"/>
  <c r="AM30" i="2"/>
  <c r="AM31" i="2"/>
  <c r="AO31" i="2" s="1"/>
  <c r="AM32" i="2"/>
  <c r="AM33" i="2"/>
  <c r="AM34" i="2"/>
  <c r="AM35" i="2"/>
  <c r="AO35" i="2" s="1"/>
  <c r="AM36" i="2"/>
  <c r="AM37" i="2"/>
  <c r="AM38" i="2"/>
  <c r="AM39" i="2"/>
  <c r="AO39" i="2" s="1"/>
  <c r="AM40" i="2"/>
  <c r="AO40" i="2" s="1"/>
  <c r="AM41" i="2"/>
  <c r="AM42" i="2"/>
  <c r="AM43" i="2"/>
  <c r="AO43" i="2" s="1"/>
  <c r="AM44" i="2"/>
  <c r="AM45" i="2"/>
  <c r="AM46" i="2"/>
  <c r="AM47" i="2"/>
  <c r="AO47" i="2" s="1"/>
  <c r="AM48" i="2"/>
  <c r="AM49" i="2"/>
  <c r="AM50" i="2"/>
  <c r="AM51" i="2"/>
  <c r="AO51" i="2" s="1"/>
  <c r="AM52" i="2"/>
  <c r="AM53" i="2"/>
  <c r="AM54" i="2"/>
  <c r="AM55" i="2"/>
  <c r="AO55" i="2" s="1"/>
  <c r="AM56" i="2"/>
  <c r="AO56" i="2" s="1"/>
  <c r="AM57" i="2"/>
  <c r="AM58" i="2"/>
  <c r="AM59" i="2"/>
  <c r="AO59" i="2" s="1"/>
  <c r="AM60" i="2"/>
  <c r="AM61" i="2"/>
  <c r="AM62" i="2"/>
  <c r="AM63" i="2"/>
  <c r="AO63" i="2" s="1"/>
  <c r="AM64" i="2"/>
  <c r="AM65" i="2"/>
  <c r="AM66" i="2"/>
  <c r="AM67" i="2"/>
  <c r="AO67" i="2" s="1"/>
  <c r="AM68" i="2"/>
  <c r="AM69" i="2"/>
  <c r="AM70" i="2"/>
  <c r="AM74" i="2"/>
  <c r="AM75" i="2"/>
  <c r="AO75" i="2" s="1"/>
  <c r="AM76" i="2"/>
  <c r="AO76" i="2" s="1"/>
  <c r="AM77" i="2"/>
  <c r="AM78" i="2"/>
  <c r="AO78" i="2" s="1"/>
  <c r="AM79" i="2"/>
  <c r="AO79" i="2" s="1"/>
  <c r="AM80" i="2"/>
  <c r="AO80" i="2" s="1"/>
  <c r="AM81" i="2"/>
  <c r="AM82" i="2"/>
  <c r="AO82" i="2" s="1"/>
  <c r="AM83" i="2"/>
  <c r="AO83" i="2" s="1"/>
  <c r="AM84" i="2"/>
  <c r="AO84" i="2" s="1"/>
  <c r="AM85" i="2"/>
  <c r="AM86" i="2"/>
  <c r="AO86" i="2" s="1"/>
  <c r="AM87" i="2"/>
  <c r="AO87" i="2" s="1"/>
  <c r="AM88" i="2"/>
  <c r="AO88" i="2" s="1"/>
  <c r="AM89" i="2"/>
  <c r="AM90" i="2"/>
  <c r="AO90" i="2" s="1"/>
  <c r="AM91" i="2"/>
  <c r="AO91" i="2" s="1"/>
  <c r="AM92" i="2"/>
  <c r="AO92" i="2" s="1"/>
  <c r="AM93" i="2"/>
  <c r="AM94" i="2"/>
  <c r="AO94" i="2" s="1"/>
  <c r="AM95" i="2"/>
  <c r="AO95" i="2" s="1"/>
  <c r="AM96" i="2"/>
  <c r="AO96" i="2" s="1"/>
  <c r="AM97" i="2"/>
  <c r="AM98" i="2"/>
  <c r="AO98" i="2" s="1"/>
  <c r="AM99" i="2"/>
  <c r="AO99" i="2" s="1"/>
  <c r="AM100" i="2"/>
  <c r="AO100" i="2" s="1"/>
  <c r="AM101" i="2"/>
  <c r="AM102" i="2"/>
  <c r="AO102" i="2" s="1"/>
  <c r="AM103" i="2"/>
  <c r="AO103" i="2" s="1"/>
  <c r="AM104" i="2"/>
  <c r="AO104" i="2" s="1"/>
  <c r="AM105" i="2"/>
  <c r="AM106" i="2"/>
  <c r="AO106" i="2" s="1"/>
  <c r="AM107" i="2"/>
  <c r="AO107" i="2" s="1"/>
  <c r="AM108" i="2"/>
  <c r="AO108" i="2" s="1"/>
  <c r="AM109" i="2"/>
  <c r="AM110" i="2"/>
  <c r="AO110" i="2" s="1"/>
  <c r="AM111" i="2"/>
  <c r="AO111" i="2" s="1"/>
  <c r="AM112" i="2"/>
  <c r="AO112" i="2" s="1"/>
  <c r="AM113" i="2"/>
  <c r="AM114" i="2"/>
  <c r="AO114" i="2" s="1"/>
  <c r="AM115" i="2"/>
  <c r="AO115" i="2" s="1"/>
  <c r="AM116" i="2"/>
  <c r="AO116" i="2" s="1"/>
  <c r="AM117" i="2"/>
  <c r="AM118" i="2"/>
  <c r="AO118" i="2" s="1"/>
  <c r="AM119" i="2"/>
  <c r="AO119" i="2" s="1"/>
  <c r="AM120" i="2"/>
  <c r="AO120" i="2" s="1"/>
  <c r="AM121" i="2"/>
  <c r="AM122" i="2"/>
  <c r="AO122" i="2" s="1"/>
  <c r="AM123" i="2"/>
  <c r="AO123" i="2" s="1"/>
  <c r="AM124" i="2"/>
  <c r="AO124" i="2" s="1"/>
  <c r="AM125" i="2"/>
  <c r="AM126" i="2"/>
  <c r="AO126" i="2" s="1"/>
  <c r="AM127" i="2"/>
  <c r="AO127" i="2" s="1"/>
  <c r="AM128" i="2"/>
  <c r="AO128" i="2" s="1"/>
  <c r="AM129" i="2"/>
  <c r="AM130" i="2"/>
  <c r="AO130" i="2" s="1"/>
  <c r="AM131" i="2"/>
  <c r="AO131" i="2" s="1"/>
  <c r="AM132" i="2"/>
  <c r="AO132" i="2" s="1"/>
  <c r="AM133" i="2"/>
  <c r="AM134" i="2"/>
  <c r="AO134" i="2" s="1"/>
  <c r="AM135" i="2"/>
  <c r="AO135" i="2" s="1"/>
  <c r="AM139" i="2"/>
  <c r="AO139" i="2" s="1"/>
  <c r="AM140" i="2"/>
  <c r="AM141" i="2"/>
  <c r="AO141" i="2" s="1"/>
  <c r="AM142" i="2"/>
  <c r="AO142" i="2" s="1"/>
  <c r="AM143" i="2"/>
  <c r="AO143" i="2" s="1"/>
  <c r="AM144" i="2"/>
  <c r="AM145" i="2"/>
  <c r="AO145" i="2" s="1"/>
  <c r="AM146" i="2"/>
  <c r="AO146" i="2" s="1"/>
  <c r="AM147" i="2"/>
  <c r="AO147" i="2" s="1"/>
  <c r="AM148" i="2"/>
  <c r="AM149" i="2"/>
  <c r="AO149" i="2" s="1"/>
  <c r="AM150" i="2"/>
  <c r="AO150" i="2" s="1"/>
  <c r="AM151" i="2"/>
  <c r="AO151" i="2" s="1"/>
  <c r="AM152" i="2"/>
  <c r="AM153" i="2"/>
  <c r="AO153" i="2" s="1"/>
  <c r="AM154" i="2"/>
  <c r="AO154" i="2" s="1"/>
  <c r="AM155" i="2"/>
  <c r="AO155" i="2" s="1"/>
  <c r="AM156" i="2"/>
  <c r="AM157" i="2"/>
  <c r="AO157" i="2" s="1"/>
  <c r="AM158" i="2"/>
  <c r="AO158" i="2" s="1"/>
  <c r="AM159" i="2"/>
  <c r="AO159" i="2" s="1"/>
  <c r="AM160" i="2"/>
  <c r="AM161" i="2"/>
  <c r="AO161" i="2" s="1"/>
  <c r="AM162" i="2"/>
  <c r="AO162" i="2" s="1"/>
  <c r="AM163" i="2"/>
  <c r="AO163" i="2" s="1"/>
  <c r="AM164" i="2"/>
  <c r="AM165" i="2"/>
  <c r="AO165" i="2" s="1"/>
  <c r="AM166" i="2"/>
  <c r="AO166" i="2" s="1"/>
  <c r="AM167" i="2"/>
  <c r="AO167" i="2" s="1"/>
  <c r="AM168" i="2"/>
  <c r="AM169" i="2"/>
  <c r="AO169" i="2" s="1"/>
  <c r="AM170" i="2"/>
  <c r="AO170" i="2" s="1"/>
  <c r="AM171" i="2"/>
  <c r="AO171" i="2" s="1"/>
  <c r="AM172" i="2"/>
  <c r="AM173" i="2"/>
  <c r="AO173" i="2" s="1"/>
  <c r="AM174" i="2"/>
  <c r="AO174" i="2" s="1"/>
  <c r="AM175" i="2"/>
  <c r="AO175" i="2" s="1"/>
  <c r="AM176" i="2"/>
  <c r="AM177" i="2"/>
  <c r="AO177" i="2" s="1"/>
  <c r="AM178" i="2"/>
  <c r="AO178" i="2" s="1"/>
  <c r="AM179" i="2"/>
  <c r="AO179" i="2" s="1"/>
  <c r="AM180" i="2"/>
  <c r="AM181" i="2"/>
  <c r="AO181" i="2" s="1"/>
  <c r="AM182" i="2"/>
  <c r="AO182" i="2" s="1"/>
  <c r="AM183" i="2"/>
  <c r="AO183" i="2" s="1"/>
  <c r="AM184" i="2"/>
  <c r="AM185" i="2"/>
  <c r="AO185" i="2" s="1"/>
  <c r="AM186" i="2"/>
  <c r="AO186" i="2" s="1"/>
  <c r="AM187" i="2"/>
  <c r="AO187" i="2" s="1"/>
  <c r="AM188" i="2"/>
  <c r="AM189" i="2"/>
  <c r="AO189" i="2" s="1"/>
  <c r="AM190" i="2"/>
  <c r="AO190" i="2" s="1"/>
  <c r="AM191" i="2"/>
  <c r="AO191" i="2" s="1"/>
  <c r="AM192" i="2"/>
  <c r="AM193" i="2"/>
  <c r="AO193" i="2" s="1"/>
  <c r="AM194" i="2"/>
  <c r="AO194" i="2" s="1"/>
  <c r="AM195" i="2"/>
  <c r="AO195" i="2" s="1"/>
  <c r="AM196" i="2"/>
  <c r="AM197" i="2"/>
  <c r="AO197" i="2" s="1"/>
  <c r="AM198" i="2"/>
  <c r="AO198" i="2" s="1"/>
  <c r="AM199" i="2"/>
  <c r="AO199" i="2" s="1"/>
  <c r="AM200" i="2"/>
  <c r="AM204" i="2"/>
  <c r="AM205" i="2"/>
  <c r="AO205" i="2" s="1"/>
  <c r="AM206" i="2"/>
  <c r="AO206" i="2" s="1"/>
  <c r="AM207" i="2"/>
  <c r="AM208" i="2"/>
  <c r="AO208" i="2" s="1"/>
  <c r="AM209" i="2"/>
  <c r="AO209" i="2" s="1"/>
  <c r="AM210" i="2"/>
  <c r="AO210" i="2" s="1"/>
  <c r="AM211" i="2"/>
  <c r="AM212" i="2"/>
  <c r="AO212" i="2" s="1"/>
  <c r="AM213" i="2"/>
  <c r="AO213" i="2" s="1"/>
  <c r="AM214" i="2"/>
  <c r="AO214" i="2" s="1"/>
  <c r="AM215" i="2"/>
  <c r="AM216" i="2"/>
  <c r="AO216" i="2" s="1"/>
  <c r="AM217" i="2"/>
  <c r="AO217" i="2" s="1"/>
  <c r="AM218" i="2"/>
  <c r="AO218" i="2" s="1"/>
  <c r="AM219" i="2"/>
  <c r="AM220" i="2"/>
  <c r="AO220" i="2" s="1"/>
  <c r="AM221" i="2"/>
  <c r="AO221" i="2" s="1"/>
  <c r="AM222" i="2"/>
  <c r="AO222" i="2" s="1"/>
  <c r="AM223" i="2"/>
  <c r="AM224" i="2"/>
  <c r="AO224" i="2" s="1"/>
  <c r="AM225" i="2"/>
  <c r="AO225" i="2" s="1"/>
  <c r="AM226" i="2"/>
  <c r="AO226" i="2" s="1"/>
  <c r="AM227" i="2"/>
  <c r="AM228" i="2"/>
  <c r="AO228" i="2" s="1"/>
  <c r="AM229" i="2"/>
  <c r="AO229" i="2" s="1"/>
  <c r="AM230" i="2"/>
  <c r="AO230" i="2" s="1"/>
  <c r="AM231" i="2"/>
  <c r="AM232" i="2"/>
  <c r="AO232" i="2" s="1"/>
  <c r="AM233" i="2"/>
  <c r="AO233" i="2" s="1"/>
  <c r="AM234" i="2"/>
  <c r="AO234" i="2" s="1"/>
  <c r="AM235" i="2"/>
  <c r="AM236" i="2"/>
  <c r="AO236" i="2" s="1"/>
  <c r="AM237" i="2"/>
  <c r="AO237" i="2" s="1"/>
  <c r="AM238" i="2"/>
  <c r="AO238" i="2" s="1"/>
  <c r="AM239" i="2"/>
  <c r="AM240" i="2"/>
  <c r="AO240" i="2" s="1"/>
  <c r="AM241" i="2"/>
  <c r="AO241" i="2" s="1"/>
  <c r="AM242" i="2"/>
  <c r="AO242" i="2" s="1"/>
  <c r="AM243" i="2"/>
  <c r="AM244" i="2"/>
  <c r="AO244" i="2" s="1"/>
  <c r="AM245" i="2"/>
  <c r="AO245" i="2" s="1"/>
  <c r="AM246" i="2"/>
  <c r="AO246" i="2" s="1"/>
  <c r="AM247" i="2"/>
  <c r="AM248" i="2"/>
  <c r="AO248" i="2" s="1"/>
  <c r="AM249" i="2"/>
  <c r="AO249" i="2" s="1"/>
  <c r="AM250" i="2"/>
  <c r="AO250" i="2" s="1"/>
  <c r="AM251" i="2"/>
  <c r="AM252" i="2"/>
  <c r="AO252" i="2" s="1"/>
  <c r="AM253" i="2"/>
  <c r="AO253" i="2" s="1"/>
  <c r="AM254" i="2"/>
  <c r="AO254" i="2" s="1"/>
  <c r="AM255" i="2"/>
  <c r="AM256" i="2"/>
  <c r="AO256" i="2" s="1"/>
  <c r="AM257" i="2"/>
  <c r="AO257" i="2" s="1"/>
  <c r="AM258" i="2"/>
  <c r="AO258" i="2" s="1"/>
  <c r="AM259" i="2"/>
  <c r="AM260" i="2"/>
  <c r="AO260" i="2" s="1"/>
  <c r="AM261" i="2"/>
  <c r="AO261" i="2" s="1"/>
  <c r="AM262" i="2"/>
  <c r="AO262" i="2" s="1"/>
  <c r="AM263" i="2"/>
  <c r="AM264" i="2"/>
  <c r="AO264" i="2" s="1"/>
  <c r="AM265" i="2"/>
  <c r="AO265" i="2" s="1"/>
  <c r="AM269" i="2"/>
  <c r="AM270" i="2"/>
  <c r="AM271" i="2"/>
  <c r="AO271" i="2" s="1"/>
  <c r="AM272" i="2"/>
  <c r="AO272" i="2" s="1"/>
  <c r="AM273" i="2"/>
  <c r="AO273" i="2" s="1"/>
  <c r="AM274" i="2"/>
  <c r="AM275" i="2"/>
  <c r="AO275" i="2" s="1"/>
  <c r="AM276" i="2"/>
  <c r="AO276" i="2" s="1"/>
  <c r="AM277" i="2"/>
  <c r="AO277" i="2" s="1"/>
  <c r="AM278" i="2"/>
  <c r="AM279" i="2"/>
  <c r="AO279" i="2" s="1"/>
  <c r="AM280" i="2"/>
  <c r="AO280" i="2" s="1"/>
  <c r="AM281" i="2"/>
  <c r="AO281" i="2" s="1"/>
  <c r="AM282" i="2"/>
  <c r="AM283" i="2"/>
  <c r="AO283" i="2" s="1"/>
  <c r="AM284" i="2"/>
  <c r="AO284" i="2" s="1"/>
  <c r="AM285" i="2"/>
  <c r="AO285" i="2" s="1"/>
  <c r="AM286" i="2"/>
  <c r="AM287" i="2"/>
  <c r="AO287" i="2" s="1"/>
  <c r="AM288" i="2"/>
  <c r="AO288" i="2" s="1"/>
  <c r="AM289" i="2"/>
  <c r="AO289" i="2" s="1"/>
  <c r="AM290" i="2"/>
  <c r="AM291" i="2"/>
  <c r="AO291" i="2" s="1"/>
  <c r="AM292" i="2"/>
  <c r="AO292" i="2" s="1"/>
  <c r="AM293" i="2"/>
  <c r="AO293" i="2" s="1"/>
  <c r="AM294" i="2"/>
  <c r="AM295" i="2"/>
  <c r="AO295" i="2" s="1"/>
  <c r="AM296" i="2"/>
  <c r="AO296" i="2" s="1"/>
  <c r="AM297" i="2"/>
  <c r="AO297" i="2" s="1"/>
  <c r="AM298" i="2"/>
  <c r="AM299" i="2"/>
  <c r="AO299" i="2" s="1"/>
  <c r="AM300" i="2"/>
  <c r="AO300" i="2" s="1"/>
  <c r="AM301" i="2"/>
  <c r="AO301" i="2" s="1"/>
  <c r="AM302" i="2"/>
  <c r="AM303" i="2"/>
  <c r="AO303" i="2" s="1"/>
  <c r="AM304" i="2"/>
  <c r="AO304" i="2" s="1"/>
  <c r="AM305" i="2"/>
  <c r="AO305" i="2" s="1"/>
  <c r="AM306" i="2"/>
  <c r="AM307" i="2"/>
  <c r="AO307" i="2" s="1"/>
  <c r="AM308" i="2"/>
  <c r="AO308" i="2" s="1"/>
  <c r="AM309" i="2"/>
  <c r="AO309" i="2" s="1"/>
  <c r="AM310" i="2"/>
  <c r="AM311" i="2"/>
  <c r="AO311" i="2" s="1"/>
  <c r="AM312" i="2"/>
  <c r="AO312" i="2" s="1"/>
  <c r="AM313" i="2"/>
  <c r="AO313" i="2" s="1"/>
  <c r="AM314" i="2"/>
  <c r="AM315" i="2"/>
  <c r="AO315" i="2" s="1"/>
  <c r="AM316" i="2"/>
  <c r="AO316" i="2" s="1"/>
  <c r="AM317" i="2"/>
  <c r="AO317" i="2" s="1"/>
  <c r="AM318" i="2"/>
  <c r="AM319" i="2"/>
  <c r="AO319" i="2" s="1"/>
  <c r="AM320" i="2"/>
  <c r="AO320" i="2" s="1"/>
  <c r="AM321" i="2"/>
  <c r="AO321" i="2" s="1"/>
  <c r="AM322" i="2"/>
  <c r="AM323" i="2"/>
  <c r="AO323" i="2" s="1"/>
  <c r="AM324" i="2"/>
  <c r="AO324" i="2" s="1"/>
  <c r="AM325" i="2"/>
  <c r="AO325" i="2" s="1"/>
  <c r="AM326" i="2"/>
  <c r="AM327" i="2"/>
  <c r="AO327" i="2" s="1"/>
  <c r="AM328" i="2"/>
  <c r="AO328" i="2" s="1"/>
  <c r="AM329" i="2"/>
  <c r="AO329" i="2" s="1"/>
  <c r="AM330" i="2"/>
  <c r="AM334" i="2"/>
  <c r="AO334" i="2" s="1"/>
  <c r="AM335" i="2"/>
  <c r="AO335" i="2" s="1"/>
  <c r="AM336" i="2"/>
  <c r="AO336" i="2" s="1"/>
  <c r="AM337" i="2"/>
  <c r="AM338" i="2"/>
  <c r="AO338" i="2" s="1"/>
  <c r="AM339" i="2"/>
  <c r="AO339" i="2" s="1"/>
  <c r="AM340" i="2"/>
  <c r="AO340" i="2" s="1"/>
  <c r="AM341" i="2"/>
  <c r="AM342" i="2"/>
  <c r="AO342" i="2" s="1"/>
  <c r="AM343" i="2"/>
  <c r="AO343" i="2" s="1"/>
  <c r="AM344" i="2"/>
  <c r="AO344" i="2" s="1"/>
  <c r="AM345" i="2"/>
  <c r="AM346" i="2"/>
  <c r="AO346" i="2" s="1"/>
  <c r="AM347" i="2"/>
  <c r="AO347" i="2" s="1"/>
  <c r="AM348" i="2"/>
  <c r="AO348" i="2" s="1"/>
  <c r="AM349" i="2"/>
  <c r="AM350" i="2"/>
  <c r="AO350" i="2" s="1"/>
  <c r="AM351" i="2"/>
  <c r="AO351" i="2" s="1"/>
  <c r="AM352" i="2"/>
  <c r="AO352" i="2" s="1"/>
  <c r="AM353" i="2"/>
  <c r="AM354" i="2"/>
  <c r="AO354" i="2" s="1"/>
  <c r="AM355" i="2"/>
  <c r="AO355" i="2" s="1"/>
  <c r="AM356" i="2"/>
  <c r="AO356" i="2" s="1"/>
  <c r="AM357" i="2"/>
  <c r="AM358" i="2"/>
  <c r="AO358" i="2" s="1"/>
  <c r="AM359" i="2"/>
  <c r="AO359" i="2" s="1"/>
  <c r="AM360" i="2"/>
  <c r="AO360" i="2" s="1"/>
  <c r="AM361" i="2"/>
  <c r="AM362" i="2"/>
  <c r="AO362" i="2" s="1"/>
  <c r="AM363" i="2"/>
  <c r="AO363" i="2" s="1"/>
  <c r="AM364" i="2"/>
  <c r="AO364" i="2" s="1"/>
  <c r="AM365" i="2"/>
  <c r="AM366" i="2"/>
  <c r="AO366" i="2" s="1"/>
  <c r="AM367" i="2"/>
  <c r="AO367" i="2" s="1"/>
  <c r="AM368" i="2"/>
  <c r="AO368" i="2" s="1"/>
  <c r="AM369" i="2"/>
  <c r="AM370" i="2"/>
  <c r="AO370" i="2" s="1"/>
  <c r="AM371" i="2"/>
  <c r="AO371" i="2" s="1"/>
  <c r="AM372" i="2"/>
  <c r="AO372" i="2" s="1"/>
  <c r="AM373" i="2"/>
  <c r="AM374" i="2"/>
  <c r="AO374" i="2" s="1"/>
  <c r="AM375" i="2"/>
  <c r="AO375" i="2" s="1"/>
  <c r="AM376" i="2"/>
  <c r="AO376" i="2" s="1"/>
  <c r="AM377" i="2"/>
  <c r="AM378" i="2"/>
  <c r="AO378" i="2" s="1"/>
  <c r="AM379" i="2"/>
  <c r="AO379" i="2" s="1"/>
  <c r="AM380" i="2"/>
  <c r="AO380" i="2" s="1"/>
  <c r="AM381" i="2"/>
  <c r="AM382" i="2"/>
  <c r="AO382" i="2" s="1"/>
  <c r="AM383" i="2"/>
  <c r="AO383" i="2" s="1"/>
  <c r="AM384" i="2"/>
  <c r="AO384" i="2" s="1"/>
  <c r="AM385" i="2"/>
  <c r="AM386" i="2"/>
  <c r="AO386" i="2" s="1"/>
  <c r="AO439" i="2"/>
  <c r="AO506" i="2"/>
  <c r="AO573" i="2"/>
  <c r="AL66" i="2"/>
  <c r="AL144" i="2"/>
  <c r="AL178" i="2"/>
  <c r="AL200" i="2"/>
  <c r="AL219" i="2"/>
  <c r="AL235" i="2"/>
  <c r="AL251" i="2"/>
  <c r="AL286" i="2"/>
  <c r="AL291" i="2"/>
  <c r="AL296" i="2"/>
  <c r="AL312" i="2"/>
  <c r="AL322" i="2"/>
  <c r="AL342" i="2"/>
  <c r="AL347" i="2"/>
  <c r="AE682" i="2"/>
  <c r="AL682" i="2" s="1"/>
  <c r="AE681" i="2"/>
  <c r="AE680" i="2"/>
  <c r="AE678" i="2"/>
  <c r="AE677" i="2"/>
  <c r="AE676" i="2"/>
  <c r="AL676" i="2" s="1"/>
  <c r="AE675" i="2"/>
  <c r="AL675" i="2" s="1"/>
  <c r="AE674" i="2"/>
  <c r="AE673" i="2"/>
  <c r="AL673" i="2" s="1"/>
  <c r="AE672" i="2"/>
  <c r="AL672" i="2" s="1"/>
  <c r="AE671" i="2"/>
  <c r="AE670" i="2"/>
  <c r="AE669" i="2"/>
  <c r="AL669" i="2" s="1"/>
  <c r="AE668" i="2"/>
  <c r="AL668" i="2" s="1"/>
  <c r="AE667" i="2"/>
  <c r="AL667" i="2" s="1"/>
  <c r="AE665" i="2"/>
  <c r="AL665" i="2" s="1"/>
  <c r="AE664" i="2"/>
  <c r="AL664" i="2" s="1"/>
  <c r="AE663" i="2"/>
  <c r="AL663" i="2" s="1"/>
  <c r="AE662" i="2"/>
  <c r="AL662" i="2" s="1"/>
  <c r="AE661" i="2"/>
  <c r="AE660" i="2"/>
  <c r="AE659" i="2"/>
  <c r="AE655" i="2"/>
  <c r="AE654" i="2"/>
  <c r="AL654" i="2" s="1"/>
  <c r="AE653" i="2"/>
  <c r="AL653" i="2" s="1"/>
  <c r="AE652" i="2"/>
  <c r="AL652" i="2" s="1"/>
  <c r="AE651" i="2"/>
  <c r="AL651" i="2" s="1"/>
  <c r="AE650" i="2"/>
  <c r="AE648" i="2"/>
  <c r="AL648" i="2" s="1"/>
  <c r="AE647" i="2"/>
  <c r="AL647" i="2" s="1"/>
  <c r="AE646" i="2"/>
  <c r="AE645" i="2"/>
  <c r="AL645" i="2" s="1"/>
  <c r="AE644" i="2"/>
  <c r="AL644" i="2" s="1"/>
  <c r="AE643" i="2"/>
  <c r="AE642" i="2"/>
  <c r="AL642" i="2" s="1"/>
  <c r="AE641" i="2"/>
  <c r="AL641" i="2" s="1"/>
  <c r="AE640" i="2"/>
  <c r="AL640" i="2" s="1"/>
  <c r="AE639" i="2"/>
  <c r="AE638" i="2"/>
  <c r="AL638" i="2" s="1"/>
  <c r="AE637" i="2"/>
  <c r="AE636" i="2"/>
  <c r="AE635" i="2"/>
  <c r="AL635" i="2" s="1"/>
  <c r="AE634" i="2"/>
  <c r="AE633" i="2"/>
  <c r="AE632" i="2"/>
  <c r="AL632" i="2" s="1"/>
  <c r="AE631" i="2"/>
  <c r="AE630" i="2"/>
  <c r="AL630" i="2" s="1"/>
  <c r="AE629" i="2"/>
  <c r="AL629" i="2" s="1"/>
  <c r="AE628" i="2"/>
  <c r="AL628" i="2" s="1"/>
  <c r="AE627" i="2"/>
  <c r="AL627" i="2" s="1"/>
  <c r="AE626" i="2"/>
  <c r="AL626" i="2" s="1"/>
  <c r="AE625" i="2"/>
  <c r="AL625" i="2" s="1"/>
  <c r="AE624" i="2"/>
  <c r="AE623" i="2"/>
  <c r="AE622" i="2"/>
  <c r="AE621" i="2"/>
  <c r="AE620" i="2"/>
  <c r="AL620" i="2" s="1"/>
  <c r="AE619" i="2"/>
  <c r="AL619" i="2" s="1"/>
  <c r="AE618" i="2"/>
  <c r="AL618" i="2" s="1"/>
  <c r="AE617" i="2"/>
  <c r="AL617" i="2" s="1"/>
  <c r="AE616" i="2"/>
  <c r="AE615" i="2"/>
  <c r="AE613" i="2"/>
  <c r="AL613" i="2" s="1"/>
  <c r="AE612" i="2"/>
  <c r="AE611" i="2"/>
  <c r="AL611" i="2" s="1"/>
  <c r="AE610" i="2"/>
  <c r="AE609" i="2"/>
  <c r="AL609" i="2" s="1"/>
  <c r="AE608" i="2"/>
  <c r="AE607" i="2"/>
  <c r="AL607" i="2" s="1"/>
  <c r="AE606" i="2"/>
  <c r="AL606" i="2" s="1"/>
  <c r="AE605" i="2"/>
  <c r="AE604" i="2"/>
  <c r="AL604" i="2" s="1"/>
  <c r="AE603" i="2"/>
  <c r="AL603" i="2" s="1"/>
  <c r="AE602" i="2"/>
  <c r="AL602" i="2" s="1"/>
  <c r="AE601" i="2"/>
  <c r="AL601" i="2" s="1"/>
  <c r="AE600" i="2"/>
  <c r="AL600" i="2" s="1"/>
  <c r="AE599" i="2"/>
  <c r="AL599" i="2" s="1"/>
  <c r="AE598" i="2"/>
  <c r="AL598" i="2" s="1"/>
  <c r="AE596" i="2"/>
  <c r="AL596" i="2" s="1"/>
  <c r="AE595" i="2"/>
  <c r="AL595" i="2" s="1"/>
  <c r="AE594" i="2"/>
  <c r="AL594" i="2" s="1"/>
  <c r="AE590" i="2"/>
  <c r="AL590" i="2" s="1"/>
  <c r="AE589" i="2"/>
  <c r="AL589" i="2" s="1"/>
  <c r="AE588" i="2"/>
  <c r="AE587" i="2"/>
  <c r="AL587" i="2" s="1"/>
  <c r="AE586" i="2"/>
  <c r="AL586" i="2" s="1"/>
  <c r="AE585" i="2"/>
  <c r="AL585" i="2" s="1"/>
  <c r="AE584" i="2"/>
  <c r="AL584" i="2" s="1"/>
  <c r="AE583" i="2"/>
  <c r="AL583" i="2" s="1"/>
  <c r="AE582" i="2"/>
  <c r="AL582" i="2" s="1"/>
  <c r="AE581" i="2"/>
  <c r="AL581" i="2" s="1"/>
  <c r="AE580" i="2"/>
  <c r="AE579" i="2"/>
  <c r="AL579" i="2" s="1"/>
  <c r="AE577" i="2"/>
  <c r="AL577" i="2" s="1"/>
  <c r="AE576" i="2"/>
  <c r="AL576" i="2" s="1"/>
  <c r="AE575" i="2"/>
  <c r="AL575" i="2" s="1"/>
  <c r="AE574" i="2"/>
  <c r="AL574" i="2" s="1"/>
  <c r="AE573" i="2"/>
  <c r="AL573" i="2" s="1"/>
  <c r="AE572" i="2"/>
  <c r="AE571" i="2"/>
  <c r="AL571" i="2" s="1"/>
  <c r="AE570" i="2"/>
  <c r="AL570" i="2" s="1"/>
  <c r="AE569" i="2"/>
  <c r="AL569" i="2" s="1"/>
  <c r="AE568" i="2"/>
  <c r="AL568" i="2" s="1"/>
  <c r="AE567" i="2"/>
  <c r="AL567" i="2" s="1"/>
  <c r="AE566" i="2"/>
  <c r="AL566" i="2" s="1"/>
  <c r="AE565" i="2"/>
  <c r="AL565" i="2" s="1"/>
  <c r="AE564" i="2"/>
  <c r="AL564" i="2" s="1"/>
  <c r="AE563" i="2"/>
  <c r="AL563" i="2" s="1"/>
  <c r="AE562" i="2"/>
  <c r="AL562" i="2" s="1"/>
  <c r="AE561" i="2"/>
  <c r="AL561" i="2" s="1"/>
  <c r="AE560" i="2"/>
  <c r="AL560" i="2" s="1"/>
  <c r="AE559" i="2"/>
  <c r="AL559" i="2" s="1"/>
  <c r="AE558" i="2"/>
  <c r="AL558" i="2" s="1"/>
  <c r="AE557" i="2"/>
  <c r="AL557" i="2" s="1"/>
  <c r="AE556" i="2"/>
  <c r="AL556" i="2" s="1"/>
  <c r="AE555" i="2"/>
  <c r="AL555" i="2" s="1"/>
  <c r="AE554" i="2"/>
  <c r="AL554" i="2" s="1"/>
  <c r="AE553" i="2"/>
  <c r="AL553" i="2" s="1"/>
  <c r="AE552" i="2"/>
  <c r="AL552" i="2" s="1"/>
  <c r="AE551" i="2"/>
  <c r="AL551" i="2" s="1"/>
  <c r="AE550" i="2"/>
  <c r="AL550" i="2" s="1"/>
  <c r="AE549" i="2"/>
  <c r="AL549" i="2" s="1"/>
  <c r="AE548" i="2"/>
  <c r="AL548" i="2" s="1"/>
  <c r="AE547" i="2"/>
  <c r="AL547" i="2" s="1"/>
  <c r="AE546" i="2"/>
  <c r="AL546" i="2" s="1"/>
  <c r="AE545" i="2"/>
  <c r="AE544" i="2"/>
  <c r="AL544" i="2" s="1"/>
  <c r="AE543" i="2"/>
  <c r="AL543" i="2" s="1"/>
  <c r="AE542" i="2"/>
  <c r="AL542" i="2" s="1"/>
  <c r="AE541" i="2"/>
  <c r="AL541" i="2" s="1"/>
  <c r="AE540" i="2"/>
  <c r="AL540" i="2" s="1"/>
  <c r="AE539" i="2"/>
  <c r="AL539" i="2" s="1"/>
  <c r="AE538" i="2"/>
  <c r="AL538" i="2" s="1"/>
  <c r="AE537" i="2"/>
  <c r="AL537" i="2" s="1"/>
  <c r="AE536" i="2"/>
  <c r="AL536" i="2" s="1"/>
  <c r="AE535" i="2"/>
  <c r="AL535" i="2" s="1"/>
  <c r="AE534" i="2"/>
  <c r="AL534" i="2" s="1"/>
  <c r="AE533" i="2"/>
  <c r="AL533" i="2" s="1"/>
  <c r="AE532" i="2"/>
  <c r="AL532" i="2" s="1"/>
  <c r="AE531" i="2"/>
  <c r="AL531" i="2" s="1"/>
  <c r="AE530" i="2"/>
  <c r="AL530" i="2" s="1"/>
  <c r="AE525" i="2"/>
  <c r="AL525" i="2" s="1"/>
  <c r="AE524" i="2"/>
  <c r="AL524" i="2" s="1"/>
  <c r="AE523" i="2"/>
  <c r="AL523" i="2" s="1"/>
  <c r="AE522" i="2"/>
  <c r="AL522" i="2" s="1"/>
  <c r="AE521" i="2"/>
  <c r="AL521" i="2" s="1"/>
  <c r="AE520" i="2"/>
  <c r="AL520" i="2" s="1"/>
  <c r="AE519" i="2"/>
  <c r="AL519" i="2" s="1"/>
  <c r="AE518" i="2"/>
  <c r="AL518" i="2" s="1"/>
  <c r="AE517" i="2"/>
  <c r="AL517" i="2" s="1"/>
  <c r="AE516" i="2"/>
  <c r="AL516" i="2" s="1"/>
  <c r="AE515" i="2"/>
  <c r="AL515" i="2" s="1"/>
  <c r="AE514" i="2"/>
  <c r="AL514" i="2" s="1"/>
  <c r="AE513" i="2"/>
  <c r="AL513" i="2" s="1"/>
  <c r="AE512" i="2"/>
  <c r="AL512" i="2" s="1"/>
  <c r="AE511" i="2"/>
  <c r="AL511" i="2" s="1"/>
  <c r="AE510" i="2"/>
  <c r="AL510" i="2" s="1"/>
  <c r="AE509" i="2"/>
  <c r="AL509" i="2" s="1"/>
  <c r="AE508" i="2"/>
  <c r="AL508" i="2" s="1"/>
  <c r="AE507" i="2"/>
  <c r="AL507" i="2" s="1"/>
  <c r="AE506" i="2"/>
  <c r="AL506" i="2" s="1"/>
  <c r="AE505" i="2"/>
  <c r="AL505" i="2" s="1"/>
  <c r="AE504" i="2"/>
  <c r="AL504" i="2" s="1"/>
  <c r="AE503" i="2"/>
  <c r="AL503" i="2" s="1"/>
  <c r="AE502" i="2"/>
  <c r="AL502" i="2" s="1"/>
  <c r="AE501" i="2"/>
  <c r="AL501" i="2" s="1"/>
  <c r="AE500" i="2"/>
  <c r="AL500" i="2" s="1"/>
  <c r="AE499" i="2"/>
  <c r="AL499" i="2" s="1"/>
  <c r="AE498" i="2"/>
  <c r="AL498" i="2" s="1"/>
  <c r="AE497" i="2"/>
  <c r="AL497" i="2" s="1"/>
  <c r="AE496" i="2"/>
  <c r="AL496" i="2" s="1"/>
  <c r="AE495" i="2"/>
  <c r="AL495" i="2" s="1"/>
  <c r="AE494" i="2"/>
  <c r="AL494" i="2" s="1"/>
  <c r="AE493" i="2"/>
  <c r="AL493" i="2" s="1"/>
  <c r="AE492" i="2"/>
  <c r="AL492" i="2" s="1"/>
  <c r="AE491" i="2"/>
  <c r="AL491" i="2" s="1"/>
  <c r="AE490" i="2"/>
  <c r="AL490" i="2" s="1"/>
  <c r="AE489" i="2"/>
  <c r="AL489" i="2" s="1"/>
  <c r="AE488" i="2"/>
  <c r="AL488" i="2" s="1"/>
  <c r="AE487" i="2"/>
  <c r="AL487" i="2" s="1"/>
  <c r="AE486" i="2"/>
  <c r="AL486" i="2" s="1"/>
  <c r="AE485" i="2"/>
  <c r="AL485" i="2" s="1"/>
  <c r="AE484" i="2"/>
  <c r="AL484" i="2" s="1"/>
  <c r="AE483" i="2"/>
  <c r="AL483" i="2" s="1"/>
  <c r="AE482" i="2"/>
  <c r="AL482" i="2" s="1"/>
  <c r="AE481" i="2"/>
  <c r="AL481" i="2" s="1"/>
  <c r="AE480" i="2"/>
  <c r="AL480" i="2" s="1"/>
  <c r="AE479" i="2"/>
  <c r="AL479" i="2" s="1"/>
  <c r="AE478" i="2"/>
  <c r="AL478" i="2" s="1"/>
  <c r="AE477" i="2"/>
  <c r="AL477" i="2" s="1"/>
  <c r="AE476" i="2"/>
  <c r="AL476" i="2" s="1"/>
  <c r="AE475" i="2"/>
  <c r="AL475" i="2" s="1"/>
  <c r="AE474" i="2"/>
  <c r="AL474" i="2" s="1"/>
  <c r="AE473" i="2"/>
  <c r="AL473" i="2" s="1"/>
  <c r="AE472" i="2"/>
  <c r="AL472" i="2" s="1"/>
  <c r="AE471" i="2"/>
  <c r="AE470" i="2"/>
  <c r="AL470" i="2" s="1"/>
  <c r="AE469" i="2"/>
  <c r="AL469" i="2" s="1"/>
  <c r="AE468" i="2"/>
  <c r="AL468" i="2" s="1"/>
  <c r="AE467" i="2"/>
  <c r="AL467" i="2" s="1"/>
  <c r="AE466" i="2"/>
  <c r="AL466" i="2" s="1"/>
  <c r="AE465" i="2"/>
  <c r="AL465" i="2" s="1"/>
  <c r="AE464" i="2"/>
  <c r="AL464" i="2" s="1"/>
  <c r="AE460" i="2"/>
  <c r="AL460" i="2" s="1"/>
  <c r="AE459" i="2"/>
  <c r="AL459" i="2" s="1"/>
  <c r="AE458" i="2"/>
  <c r="AL458" i="2" s="1"/>
  <c r="AE457" i="2"/>
  <c r="AL457" i="2" s="1"/>
  <c r="AE456" i="2"/>
  <c r="AL456" i="2" s="1"/>
  <c r="AE455" i="2"/>
  <c r="AL455" i="2" s="1"/>
  <c r="AE453" i="2"/>
  <c r="AL453" i="2" s="1"/>
  <c r="AE452" i="2"/>
  <c r="AL452" i="2" s="1"/>
  <c r="AE451" i="2"/>
  <c r="AL451" i="2" s="1"/>
  <c r="AE450" i="2"/>
  <c r="AL450" i="2" s="1"/>
  <c r="AE448" i="2"/>
  <c r="AL448" i="2" s="1"/>
  <c r="AE447" i="2"/>
  <c r="AL447" i="2" s="1"/>
  <c r="AE446" i="2"/>
  <c r="AL446" i="2" s="1"/>
  <c r="AE445" i="2"/>
  <c r="AL445" i="2" s="1"/>
  <c r="AE444" i="2"/>
  <c r="AL444" i="2" s="1"/>
  <c r="AE443" i="2"/>
  <c r="AL443" i="2" s="1"/>
  <c r="AE442" i="2"/>
  <c r="AL442" i="2" s="1"/>
  <c r="AE441" i="2"/>
  <c r="AL441" i="2" s="1"/>
  <c r="AE440" i="2"/>
  <c r="AL440" i="2" s="1"/>
  <c r="AE439" i="2"/>
  <c r="AL439" i="2" s="1"/>
  <c r="AE438" i="2"/>
  <c r="AL438" i="2" s="1"/>
  <c r="AE437" i="2"/>
  <c r="AL437" i="2" s="1"/>
  <c r="AE436" i="2"/>
  <c r="AL436" i="2" s="1"/>
  <c r="AE435" i="2"/>
  <c r="AL435" i="2" s="1"/>
  <c r="AE434" i="2"/>
  <c r="AL434" i="2" s="1"/>
  <c r="AE433" i="2"/>
  <c r="AL433" i="2" s="1"/>
  <c r="AE432" i="2"/>
  <c r="AL432" i="2" s="1"/>
  <c r="AE431" i="2"/>
  <c r="AL431" i="2" s="1"/>
  <c r="AE430" i="2"/>
  <c r="AL430" i="2" s="1"/>
  <c r="AE429" i="2"/>
  <c r="AL429" i="2" s="1"/>
  <c r="AE428" i="2"/>
  <c r="AL428" i="2" s="1"/>
  <c r="AE427" i="2"/>
  <c r="AL427" i="2" s="1"/>
  <c r="AE426" i="2"/>
  <c r="AL426" i="2" s="1"/>
  <c r="AE425" i="2"/>
  <c r="AL425" i="2" s="1"/>
  <c r="AE424" i="2"/>
  <c r="AL424" i="2" s="1"/>
  <c r="AE423" i="2"/>
  <c r="AL423" i="2" s="1"/>
  <c r="AE422" i="2"/>
  <c r="AL422" i="2" s="1"/>
  <c r="AE421" i="2"/>
  <c r="AL421" i="2" s="1"/>
  <c r="AE420" i="2"/>
  <c r="AL420" i="2" s="1"/>
  <c r="AE419" i="2"/>
  <c r="AL419" i="2" s="1"/>
  <c r="AE418" i="2"/>
  <c r="AL418" i="2" s="1"/>
  <c r="AE417" i="2"/>
  <c r="AL417" i="2" s="1"/>
  <c r="AE416" i="2"/>
  <c r="AL416" i="2" s="1"/>
  <c r="AE415" i="2"/>
  <c r="AL415" i="2" s="1"/>
  <c r="AE414" i="2"/>
  <c r="AL414" i="2" s="1"/>
  <c r="AE413" i="2"/>
  <c r="AL413" i="2" s="1"/>
  <c r="AE412" i="2"/>
  <c r="AL412" i="2" s="1"/>
  <c r="AE411" i="2"/>
  <c r="AL411" i="2" s="1"/>
  <c r="AE410" i="2"/>
  <c r="AL410" i="2" s="1"/>
  <c r="AE409" i="2"/>
  <c r="AL409" i="2" s="1"/>
  <c r="AE408" i="2"/>
  <c r="AL408" i="2" s="1"/>
  <c r="AE407" i="2"/>
  <c r="AL407" i="2" s="1"/>
  <c r="AE405" i="2"/>
  <c r="AL405" i="2" s="1"/>
  <c r="AE404" i="2"/>
  <c r="AL404" i="2" s="1"/>
  <c r="AE403" i="2"/>
  <c r="AL403" i="2" s="1"/>
  <c r="AE402" i="2"/>
  <c r="AL402" i="2" s="1"/>
  <c r="AE401" i="2"/>
  <c r="AL401" i="2" s="1"/>
  <c r="AE400" i="2"/>
  <c r="AL400" i="2" s="1"/>
  <c r="AE399" i="2"/>
  <c r="AL399" i="2" s="1"/>
  <c r="AE395" i="2"/>
  <c r="AL395" i="2" s="1"/>
  <c r="AE394" i="2"/>
  <c r="AL394" i="2" s="1"/>
  <c r="AE393" i="2"/>
  <c r="AL393" i="2" s="1"/>
  <c r="AE392" i="2"/>
  <c r="AL392" i="2" s="1"/>
  <c r="AE391" i="2"/>
  <c r="AL391" i="2" s="1"/>
  <c r="AE390" i="2"/>
  <c r="AL390" i="2" s="1"/>
  <c r="AE389" i="2"/>
  <c r="AL389" i="2" s="1"/>
  <c r="AE388" i="2"/>
  <c r="AL388" i="2" s="1"/>
  <c r="AE386" i="2"/>
  <c r="AL386" i="2" s="1"/>
  <c r="AE385" i="2"/>
  <c r="AL385" i="2" s="1"/>
  <c r="AE384" i="2"/>
  <c r="AL384" i="2" s="1"/>
  <c r="AE383" i="2"/>
  <c r="AL383" i="2" s="1"/>
  <c r="AE382" i="2"/>
  <c r="AL382" i="2" s="1"/>
  <c r="AE381" i="2"/>
  <c r="AL381" i="2" s="1"/>
  <c r="AE380" i="2"/>
  <c r="AL380" i="2" s="1"/>
  <c r="AE379" i="2"/>
  <c r="AL379" i="2" s="1"/>
  <c r="AE378" i="2"/>
  <c r="AL378" i="2" s="1"/>
  <c r="AE377" i="2"/>
  <c r="AL377" i="2" s="1"/>
  <c r="AE376" i="2"/>
  <c r="AL376" i="2" s="1"/>
  <c r="AE375" i="2"/>
  <c r="AL375" i="2" s="1"/>
  <c r="AE374" i="2"/>
  <c r="AL374" i="2" s="1"/>
  <c r="AE373" i="2"/>
  <c r="AL373" i="2" s="1"/>
  <c r="AE372" i="2"/>
  <c r="AL372" i="2" s="1"/>
  <c r="AE371" i="2"/>
  <c r="AL371" i="2" s="1"/>
  <c r="AE370" i="2"/>
  <c r="AL370" i="2" s="1"/>
  <c r="AE369" i="2"/>
  <c r="AL369" i="2" s="1"/>
  <c r="AE368" i="2"/>
  <c r="AL368" i="2" s="1"/>
  <c r="AE367" i="2"/>
  <c r="AL367" i="2" s="1"/>
  <c r="AE366" i="2"/>
  <c r="AL366" i="2" s="1"/>
  <c r="AE365" i="2"/>
  <c r="AL365" i="2" s="1"/>
  <c r="AE364" i="2"/>
  <c r="AL364" i="2" s="1"/>
  <c r="AE362" i="2"/>
  <c r="AL362" i="2" s="1"/>
  <c r="AE361" i="2"/>
  <c r="AL361" i="2" s="1"/>
  <c r="AE360" i="2"/>
  <c r="AL360" i="2" s="1"/>
  <c r="AE359" i="2"/>
  <c r="AL359" i="2" s="1"/>
  <c r="AE358" i="2"/>
  <c r="AL358" i="2" s="1"/>
  <c r="AE357" i="2"/>
  <c r="AL357" i="2" s="1"/>
  <c r="AE356" i="2"/>
  <c r="AL356" i="2" s="1"/>
  <c r="AE355" i="2"/>
  <c r="AL355" i="2" s="1"/>
  <c r="AE354" i="2"/>
  <c r="AL354" i="2" s="1"/>
  <c r="AE352" i="2"/>
  <c r="AL352" i="2" s="1"/>
  <c r="AE351" i="2"/>
  <c r="AL351" i="2" s="1"/>
  <c r="AE350" i="2"/>
  <c r="AL350" i="2" s="1"/>
  <c r="AE349" i="2"/>
  <c r="AL349" i="2" s="1"/>
  <c r="AE348" i="2"/>
  <c r="AL348" i="2" s="1"/>
  <c r="AE347" i="2"/>
  <c r="AE346" i="2"/>
  <c r="AL346" i="2" s="1"/>
  <c r="AE345" i="2"/>
  <c r="AL345" i="2" s="1"/>
  <c r="AE344" i="2"/>
  <c r="AL344" i="2" s="1"/>
  <c r="AE342" i="2"/>
  <c r="AE341" i="2"/>
  <c r="AL341" i="2" s="1"/>
  <c r="AE340" i="2"/>
  <c r="AL340" i="2" s="1"/>
  <c r="AE339" i="2"/>
  <c r="AL339" i="2" s="1"/>
  <c r="AE338" i="2"/>
  <c r="AL338" i="2" s="1"/>
  <c r="AE337" i="2"/>
  <c r="AL337" i="2" s="1"/>
  <c r="AE336" i="2"/>
  <c r="AL336" i="2" s="1"/>
  <c r="AE335" i="2"/>
  <c r="AL335" i="2" s="1"/>
  <c r="AE334" i="2"/>
  <c r="AL334" i="2" s="1"/>
  <c r="AE330" i="2"/>
  <c r="AL330" i="2" s="1"/>
  <c r="AE329" i="2"/>
  <c r="AL329" i="2" s="1"/>
  <c r="AE328" i="2"/>
  <c r="AL328" i="2" s="1"/>
  <c r="AE326" i="2"/>
  <c r="AL326" i="2" s="1"/>
  <c r="AE324" i="2"/>
  <c r="AL324" i="2" s="1"/>
  <c r="AE323" i="2"/>
  <c r="AL323" i="2" s="1"/>
  <c r="AE322" i="2"/>
  <c r="AE321" i="2"/>
  <c r="AL321" i="2" s="1"/>
  <c r="AE320" i="2"/>
  <c r="AL320" i="2" s="1"/>
  <c r="AE319" i="2"/>
  <c r="AL319" i="2" s="1"/>
  <c r="AE318" i="2"/>
  <c r="AL318" i="2" s="1"/>
  <c r="AE317" i="2"/>
  <c r="AL317" i="2" s="1"/>
  <c r="AE316" i="2"/>
  <c r="AL316" i="2" s="1"/>
  <c r="AE314" i="2"/>
  <c r="AL314" i="2" s="1"/>
  <c r="AE313" i="2"/>
  <c r="AL313" i="2" s="1"/>
  <c r="AE312" i="2"/>
  <c r="AE311" i="2"/>
  <c r="AL311" i="2" s="1"/>
  <c r="AE310" i="2"/>
  <c r="AL310" i="2" s="1"/>
  <c r="AE309" i="2"/>
  <c r="AL309" i="2" s="1"/>
  <c r="AE308" i="2"/>
  <c r="AL308" i="2" s="1"/>
  <c r="AE307" i="2"/>
  <c r="AL307" i="2" s="1"/>
  <c r="AE305" i="2"/>
  <c r="AL305" i="2" s="1"/>
  <c r="AE304" i="2"/>
  <c r="AL304" i="2" s="1"/>
  <c r="AE303" i="2"/>
  <c r="AL303" i="2" s="1"/>
  <c r="AE302" i="2"/>
  <c r="AL302" i="2" s="1"/>
  <c r="AE301" i="2"/>
  <c r="AL301" i="2" s="1"/>
  <c r="AE300" i="2"/>
  <c r="AL300" i="2" s="1"/>
  <c r="AE299" i="2"/>
  <c r="AL299" i="2" s="1"/>
  <c r="AE298" i="2"/>
  <c r="AL298" i="2" s="1"/>
  <c r="AE297" i="2"/>
  <c r="AL297" i="2" s="1"/>
  <c r="AE296" i="2"/>
  <c r="AE295" i="2"/>
  <c r="AL295" i="2" s="1"/>
  <c r="AE294" i="2"/>
  <c r="AL294" i="2" s="1"/>
  <c r="AE293" i="2"/>
  <c r="AL293" i="2" s="1"/>
  <c r="AE292" i="2"/>
  <c r="AL292" i="2" s="1"/>
  <c r="AE291" i="2"/>
  <c r="AE289" i="2"/>
  <c r="AL289" i="2" s="1"/>
  <c r="AE288" i="2"/>
  <c r="AL288" i="2" s="1"/>
  <c r="AE287" i="2"/>
  <c r="AL287" i="2" s="1"/>
  <c r="AE286" i="2"/>
  <c r="AE285" i="2"/>
  <c r="AL285" i="2" s="1"/>
  <c r="AE284" i="2"/>
  <c r="AL284" i="2" s="1"/>
  <c r="AE283" i="2"/>
  <c r="AL283" i="2" s="1"/>
  <c r="AE282" i="2"/>
  <c r="AL282" i="2" s="1"/>
  <c r="AE281" i="2"/>
  <c r="AL281" i="2" s="1"/>
  <c r="AE280" i="2"/>
  <c r="AL280" i="2" s="1"/>
  <c r="AE279" i="2"/>
  <c r="AL279" i="2" s="1"/>
  <c r="AE278" i="2"/>
  <c r="AL278" i="2" s="1"/>
  <c r="AE277" i="2"/>
  <c r="AL277" i="2" s="1"/>
  <c r="AE276" i="2"/>
  <c r="AL276" i="2" s="1"/>
  <c r="AE275" i="2"/>
  <c r="AL275" i="2" s="1"/>
  <c r="AE274" i="2"/>
  <c r="AL274" i="2" s="1"/>
  <c r="AE272" i="2"/>
  <c r="AL272" i="2" s="1"/>
  <c r="AE271" i="2"/>
  <c r="AL271" i="2" s="1"/>
  <c r="AE270" i="2"/>
  <c r="AL270" i="2" s="1"/>
  <c r="AE269" i="2"/>
  <c r="AL269" i="2" s="1"/>
  <c r="AE265" i="2"/>
  <c r="AL265" i="2" s="1"/>
  <c r="AE264" i="2"/>
  <c r="AL264" i="2" s="1"/>
  <c r="AE263" i="2"/>
  <c r="AL263" i="2" s="1"/>
  <c r="AE262" i="2"/>
  <c r="AL262" i="2" s="1"/>
  <c r="AE260" i="2"/>
  <c r="AL260" i="2" s="1"/>
  <c r="AE259" i="2"/>
  <c r="AL259" i="2" s="1"/>
  <c r="AE258" i="2"/>
  <c r="AL258" i="2" s="1"/>
  <c r="AE257" i="2"/>
  <c r="AL257" i="2" s="1"/>
  <c r="AE256" i="2"/>
  <c r="AL256" i="2" s="1"/>
  <c r="AE255" i="2"/>
  <c r="AL255" i="2" s="1"/>
  <c r="AE254" i="2"/>
  <c r="AL254" i="2" s="1"/>
  <c r="AE253" i="2"/>
  <c r="AL253" i="2" s="1"/>
  <c r="AE252" i="2"/>
  <c r="AL252" i="2" s="1"/>
  <c r="AE251" i="2"/>
  <c r="AE250" i="2"/>
  <c r="AL250" i="2" s="1"/>
  <c r="AE249" i="2"/>
  <c r="AL249" i="2" s="1"/>
  <c r="AE248" i="2"/>
  <c r="AL248" i="2" s="1"/>
  <c r="AE247" i="2"/>
  <c r="AL247" i="2" s="1"/>
  <c r="AE246" i="2"/>
  <c r="AL246" i="2" s="1"/>
  <c r="AE245" i="2"/>
  <c r="AL245" i="2" s="1"/>
  <c r="AE244" i="2"/>
  <c r="AL244" i="2" s="1"/>
  <c r="AE243" i="2"/>
  <c r="AL243" i="2" s="1"/>
  <c r="AE242" i="2"/>
  <c r="AL242" i="2" s="1"/>
  <c r="AE241" i="2"/>
  <c r="AL241" i="2" s="1"/>
  <c r="AE240" i="2"/>
  <c r="AL240" i="2" s="1"/>
  <c r="AE239" i="2"/>
  <c r="AL239" i="2" s="1"/>
  <c r="AE238" i="2"/>
  <c r="AL238" i="2" s="1"/>
  <c r="AE237" i="2"/>
  <c r="AL237" i="2" s="1"/>
  <c r="AE236" i="2"/>
  <c r="AL236" i="2" s="1"/>
  <c r="AE235" i="2"/>
  <c r="AE234" i="2"/>
  <c r="AL234" i="2" s="1"/>
  <c r="AE233" i="2"/>
  <c r="AL233" i="2" s="1"/>
  <c r="AE231" i="2"/>
  <c r="AL231" i="2" s="1"/>
  <c r="AE230" i="2"/>
  <c r="AL230" i="2" s="1"/>
  <c r="AE229" i="2"/>
  <c r="AL229" i="2" s="1"/>
  <c r="AE228" i="2"/>
  <c r="AL228" i="2" s="1"/>
  <c r="AE226" i="2"/>
  <c r="AL226" i="2" s="1"/>
  <c r="AE225" i="2"/>
  <c r="AL225" i="2" s="1"/>
  <c r="AE224" i="2"/>
  <c r="AL224" i="2" s="1"/>
  <c r="AE223" i="2"/>
  <c r="AL223" i="2" s="1"/>
  <c r="AE222" i="2"/>
  <c r="AL222" i="2" s="1"/>
  <c r="AE221" i="2"/>
  <c r="AL221" i="2" s="1"/>
  <c r="AE220" i="2"/>
  <c r="AL220" i="2" s="1"/>
  <c r="AE219" i="2"/>
  <c r="AE218" i="2"/>
  <c r="AL218" i="2" s="1"/>
  <c r="AE217" i="2"/>
  <c r="AL217" i="2" s="1"/>
  <c r="AE216" i="2"/>
  <c r="AL216" i="2" s="1"/>
  <c r="AE215" i="2"/>
  <c r="AL215" i="2" s="1"/>
  <c r="AE214" i="2"/>
  <c r="AL214" i="2" s="1"/>
  <c r="AE213" i="2"/>
  <c r="AL213" i="2" s="1"/>
  <c r="AE211" i="2"/>
  <c r="AL211" i="2" s="1"/>
  <c r="AE209" i="2"/>
  <c r="AL209" i="2" s="1"/>
  <c r="AE208" i="2"/>
  <c r="AL208" i="2" s="1"/>
  <c r="AE207" i="2"/>
  <c r="AE206" i="2"/>
  <c r="AL206" i="2" s="1"/>
  <c r="AE205" i="2"/>
  <c r="AE204" i="2"/>
  <c r="AL204" i="2" s="1"/>
  <c r="AE200" i="2"/>
  <c r="AE199" i="2"/>
  <c r="AE198" i="2"/>
  <c r="AL198" i="2" s="1"/>
  <c r="AE197" i="2"/>
  <c r="AL197" i="2" s="1"/>
  <c r="AE196" i="2"/>
  <c r="AE195" i="2"/>
  <c r="AL195" i="2" s="1"/>
  <c r="AE194" i="2"/>
  <c r="AL194" i="2" s="1"/>
  <c r="AE193" i="2"/>
  <c r="AL193" i="2" s="1"/>
  <c r="AE192" i="2"/>
  <c r="AL192" i="2" s="1"/>
  <c r="AE191" i="2"/>
  <c r="AE190" i="2"/>
  <c r="AL190" i="2" s="1"/>
  <c r="AE189" i="2"/>
  <c r="AL189" i="2" s="1"/>
  <c r="AE188" i="2"/>
  <c r="AL188" i="2" s="1"/>
  <c r="AE187" i="2"/>
  <c r="AE185" i="2"/>
  <c r="AL185" i="2" s="1"/>
  <c r="AE184" i="2"/>
  <c r="AL184" i="2" s="1"/>
  <c r="AE183" i="2"/>
  <c r="AL183" i="2" s="1"/>
  <c r="AE182" i="2"/>
  <c r="AL182" i="2" s="1"/>
  <c r="AE181" i="2"/>
  <c r="AL181" i="2" s="1"/>
  <c r="AE180" i="2"/>
  <c r="AL180" i="2" s="1"/>
  <c r="AE179" i="2"/>
  <c r="AE178" i="2"/>
  <c r="AE177" i="2"/>
  <c r="AE176" i="2"/>
  <c r="AL176" i="2" s="1"/>
  <c r="AE175" i="2"/>
  <c r="AL175" i="2" s="1"/>
  <c r="AE174" i="2"/>
  <c r="AL174" i="2" s="1"/>
  <c r="AE173" i="2"/>
  <c r="AL173" i="2" s="1"/>
  <c r="AE172" i="2"/>
  <c r="AL172" i="2" s="1"/>
  <c r="AE171" i="2"/>
  <c r="AL171" i="2" s="1"/>
  <c r="AE170" i="2"/>
  <c r="AL170" i="2" s="1"/>
  <c r="AE169" i="2"/>
  <c r="AL169" i="2" s="1"/>
  <c r="AE168" i="2"/>
  <c r="AL168" i="2" s="1"/>
  <c r="AE167" i="2"/>
  <c r="AE166" i="2"/>
  <c r="AL166" i="2" s="1"/>
  <c r="AE165" i="2"/>
  <c r="AL165" i="2" s="1"/>
  <c r="AE164" i="2"/>
  <c r="AE163" i="2"/>
  <c r="AL163" i="2" s="1"/>
  <c r="AE162" i="2"/>
  <c r="AE161" i="2"/>
  <c r="AL161" i="2" s="1"/>
  <c r="AE160" i="2"/>
  <c r="AE159" i="2"/>
  <c r="AL159" i="2" s="1"/>
  <c r="AE158" i="2"/>
  <c r="AL158" i="2" s="1"/>
  <c r="AE157" i="2"/>
  <c r="AL157" i="2" s="1"/>
  <c r="AE156" i="2"/>
  <c r="AE154" i="2"/>
  <c r="AL154" i="2" s="1"/>
  <c r="AE153" i="2"/>
  <c r="AE152" i="2"/>
  <c r="AL152" i="2" s="1"/>
  <c r="AE150" i="2"/>
  <c r="AE149" i="2"/>
  <c r="AL149" i="2" s="1"/>
  <c r="AE148" i="2"/>
  <c r="AL148" i="2" s="1"/>
  <c r="AE147" i="2"/>
  <c r="AL147" i="2" s="1"/>
  <c r="AE146" i="2"/>
  <c r="AL146" i="2" s="1"/>
  <c r="AE145" i="2"/>
  <c r="AL145" i="2" s="1"/>
  <c r="AE144" i="2"/>
  <c r="AE143" i="2"/>
  <c r="AE142" i="2"/>
  <c r="AE141" i="2"/>
  <c r="AL141" i="2" s="1"/>
  <c r="AE140" i="2"/>
  <c r="AL140" i="2" s="1"/>
  <c r="AE139" i="2"/>
  <c r="AL139" i="2" s="1"/>
  <c r="AE135" i="2"/>
  <c r="AE134" i="2"/>
  <c r="AL134" i="2" s="1"/>
  <c r="AE133" i="2"/>
  <c r="AL133" i="2" s="1"/>
  <c r="AE132" i="2"/>
  <c r="AL132" i="2" s="1"/>
  <c r="AE130" i="2"/>
  <c r="AL130" i="2" s="1"/>
  <c r="AE129" i="2"/>
  <c r="AL129" i="2" s="1"/>
  <c r="AE128" i="2"/>
  <c r="AE127" i="2"/>
  <c r="AL127" i="2" s="1"/>
  <c r="AE126" i="2"/>
  <c r="AL126" i="2" s="1"/>
  <c r="AE125" i="2"/>
  <c r="AL125" i="2" s="1"/>
  <c r="AE124" i="2"/>
  <c r="AL124" i="2" s="1"/>
  <c r="AE123" i="2"/>
  <c r="AL123" i="2" s="1"/>
  <c r="AE122" i="2"/>
  <c r="AL122" i="2" s="1"/>
  <c r="AE120" i="2"/>
  <c r="AE119" i="2"/>
  <c r="AL119" i="2" s="1"/>
  <c r="AE118" i="2"/>
  <c r="AL118" i="2" s="1"/>
  <c r="AE117" i="2"/>
  <c r="AE116" i="2"/>
  <c r="AL116" i="2" s="1"/>
  <c r="AE115" i="2"/>
  <c r="AL115" i="2" s="1"/>
  <c r="AE114" i="2"/>
  <c r="AL114" i="2" s="1"/>
  <c r="AE113" i="2"/>
  <c r="AL113" i="2" s="1"/>
  <c r="AE112" i="2"/>
  <c r="AE111" i="2"/>
  <c r="AL111" i="2" s="1"/>
  <c r="AE109" i="2"/>
  <c r="AL109" i="2" s="1"/>
  <c r="AE108" i="2"/>
  <c r="AL108" i="2" s="1"/>
  <c r="AE107" i="2"/>
  <c r="AL107" i="2" s="1"/>
  <c r="AE106" i="2"/>
  <c r="AL106" i="2" s="1"/>
  <c r="AE105" i="2"/>
  <c r="AL105" i="2" s="1"/>
  <c r="AE104" i="2"/>
  <c r="AL104" i="2" s="1"/>
  <c r="AE103" i="2"/>
  <c r="AL103" i="2" s="1"/>
  <c r="AE102" i="2"/>
  <c r="AE101" i="2"/>
  <c r="AL101" i="2" s="1"/>
  <c r="AE100" i="2"/>
  <c r="AE99" i="2"/>
  <c r="AE98" i="2"/>
  <c r="AE97" i="2"/>
  <c r="AL97" i="2" s="1"/>
  <c r="AE96" i="2"/>
  <c r="AL96" i="2" s="1"/>
  <c r="AE95" i="2"/>
  <c r="AL95" i="2" s="1"/>
  <c r="AE94" i="2"/>
  <c r="AL94" i="2" s="1"/>
  <c r="AE93" i="2"/>
  <c r="AE92" i="2"/>
  <c r="AL92" i="2" s="1"/>
  <c r="AE91" i="2"/>
  <c r="AL91" i="2" s="1"/>
  <c r="AE90" i="2"/>
  <c r="AE89" i="2"/>
  <c r="AL89" i="2" s="1"/>
  <c r="AE88" i="2"/>
  <c r="AL88" i="2" s="1"/>
  <c r="AE87" i="2"/>
  <c r="AE86" i="2"/>
  <c r="AL86" i="2" s="1"/>
  <c r="AE85" i="2"/>
  <c r="AL85" i="2" s="1"/>
  <c r="AE81" i="2"/>
  <c r="AL81" i="2" s="1"/>
  <c r="AE80" i="2"/>
  <c r="AL80" i="2" s="1"/>
  <c r="AE79" i="2"/>
  <c r="AE77" i="2"/>
  <c r="AL77" i="2" s="1"/>
  <c r="AE76" i="2"/>
  <c r="AE75" i="2"/>
  <c r="AE74" i="2"/>
  <c r="AL74" i="2" s="1"/>
  <c r="AE70" i="2"/>
  <c r="AL70" i="2" s="1"/>
  <c r="AE69" i="2"/>
  <c r="AE68" i="2"/>
  <c r="AE67" i="2"/>
  <c r="AL67" i="2" s="1"/>
  <c r="AE66" i="2"/>
  <c r="AE65" i="2"/>
  <c r="AL65" i="2" s="1"/>
  <c r="AE64" i="2"/>
  <c r="AL64" i="2" s="1"/>
  <c r="AE63" i="2"/>
  <c r="AL63" i="2" s="1"/>
  <c r="AE62" i="2"/>
  <c r="AL62" i="2" s="1"/>
  <c r="AE61" i="2"/>
  <c r="AL61" i="2" s="1"/>
  <c r="AE60" i="2"/>
  <c r="AL60" i="2" s="1"/>
  <c r="AE59" i="2"/>
  <c r="AE58" i="2"/>
  <c r="AL58" i="2" s="1"/>
  <c r="AE57" i="2"/>
  <c r="AL57" i="2" s="1"/>
  <c r="AE56" i="2"/>
  <c r="AL56" i="2" s="1"/>
  <c r="AE55" i="2"/>
  <c r="AL55" i="2" s="1"/>
  <c r="AE54" i="2"/>
  <c r="AL54" i="2" s="1"/>
  <c r="AE53" i="2"/>
  <c r="AL53" i="2" s="1"/>
  <c r="AE52" i="2"/>
  <c r="AE51" i="2"/>
  <c r="AL51" i="2" s="1"/>
  <c r="AE50" i="2"/>
  <c r="AL50" i="2" s="1"/>
  <c r="AE49" i="2"/>
  <c r="AL49" i="2" s="1"/>
  <c r="AE48" i="2"/>
  <c r="AE47" i="2"/>
  <c r="AL47" i="2" s="1"/>
  <c r="AE46" i="2"/>
  <c r="AE45" i="2"/>
  <c r="AL45" i="2" s="1"/>
  <c r="AE44" i="2"/>
  <c r="AL44" i="2" s="1"/>
  <c r="AE43" i="2"/>
  <c r="AE42" i="2"/>
  <c r="AE41" i="2"/>
  <c r="AE40" i="2"/>
  <c r="AL40" i="2" s="1"/>
  <c r="AE39" i="2"/>
  <c r="AE38" i="2"/>
  <c r="AL38" i="2" s="1"/>
  <c r="AE37" i="2"/>
  <c r="AE36" i="2"/>
  <c r="AL36" i="2" s="1"/>
  <c r="AE35" i="2"/>
  <c r="AL35" i="2" s="1"/>
  <c r="AE34" i="2"/>
  <c r="AE33" i="2"/>
  <c r="AL33" i="2" s="1"/>
  <c r="AE32" i="2"/>
  <c r="AE31" i="2"/>
  <c r="AE30" i="2"/>
  <c r="AL30" i="2" s="1"/>
  <c r="AE29" i="2"/>
  <c r="AL29" i="2" s="1"/>
  <c r="AE28" i="2"/>
  <c r="AE27" i="2"/>
  <c r="AE26" i="2"/>
  <c r="AE25" i="2"/>
  <c r="AE24" i="2"/>
  <c r="AL24" i="2" s="1"/>
  <c r="AE23" i="2"/>
  <c r="AL23" i="2" s="1"/>
  <c r="AE21" i="2"/>
  <c r="AL21" i="2" s="1"/>
  <c r="AE20" i="2"/>
  <c r="AL20" i="2" s="1"/>
  <c r="AE19" i="2"/>
  <c r="AL19" i="2" s="1"/>
  <c r="AE18" i="2"/>
  <c r="AL18" i="2" s="1"/>
  <c r="AE17" i="2"/>
  <c r="AL17" i="2" s="1"/>
  <c r="AE16" i="2"/>
  <c r="AL16" i="2" s="1"/>
  <c r="AE15" i="2"/>
  <c r="AL15" i="2" s="1"/>
  <c r="AE14" i="2"/>
  <c r="AE13" i="2"/>
  <c r="AL13" i="2" s="1"/>
  <c r="AE12" i="2"/>
  <c r="AL12" i="2" s="1"/>
  <c r="AE10" i="2"/>
  <c r="AE9" i="2"/>
  <c r="AK563" i="8"/>
  <c r="AK564" i="8"/>
  <c r="AK565" i="8"/>
  <c r="AK566" i="8"/>
  <c r="AK567" i="8"/>
  <c r="AK568" i="8"/>
  <c r="AK569" i="8"/>
  <c r="AK570" i="8"/>
  <c r="AK571" i="8"/>
  <c r="AK572" i="8"/>
  <c r="AK573" i="8"/>
  <c r="AK574" i="8"/>
  <c r="AK575" i="8"/>
  <c r="AK576" i="8"/>
  <c r="AK577" i="8"/>
  <c r="AK578" i="8"/>
  <c r="AK579" i="8"/>
  <c r="AK580" i="8"/>
  <c r="AK581" i="8"/>
  <c r="AK582" i="8"/>
  <c r="AK583" i="8"/>
  <c r="AK584" i="8"/>
  <c r="AK585" i="8"/>
  <c r="AK586" i="8"/>
  <c r="AK587" i="8"/>
  <c r="AK588" i="8"/>
  <c r="AK589" i="8"/>
  <c r="AM589" i="8" s="1"/>
  <c r="AK590" i="8"/>
  <c r="AK591" i="8"/>
  <c r="AK592" i="8"/>
  <c r="AK593" i="8"/>
  <c r="AM593" i="8" s="1"/>
  <c r="AK594" i="8"/>
  <c r="AK595" i="8"/>
  <c r="AK596" i="8"/>
  <c r="AK597" i="8"/>
  <c r="AK598" i="8"/>
  <c r="AK599" i="8"/>
  <c r="AK600" i="8"/>
  <c r="AK601" i="8"/>
  <c r="AK602" i="8"/>
  <c r="AK603" i="8"/>
  <c r="AK604" i="8"/>
  <c r="AK605" i="8"/>
  <c r="AK606" i="8"/>
  <c r="AK607" i="8"/>
  <c r="AK608" i="8"/>
  <c r="AK612" i="8"/>
  <c r="AK613" i="8"/>
  <c r="AK614" i="8"/>
  <c r="AK615" i="8"/>
  <c r="AK616" i="8"/>
  <c r="AK617" i="8"/>
  <c r="AK618" i="8"/>
  <c r="AK619" i="8"/>
  <c r="AK620" i="8"/>
  <c r="AK621" i="8"/>
  <c r="AK622" i="8"/>
  <c r="AK623" i="8"/>
  <c r="AK624" i="8"/>
  <c r="AK625" i="8"/>
  <c r="AK626" i="8"/>
  <c r="AK627" i="8"/>
  <c r="AK628" i="8"/>
  <c r="AM628" i="8" s="1"/>
  <c r="AK629" i="8"/>
  <c r="AM629" i="8" s="1"/>
  <c r="AK630" i="8"/>
  <c r="AK631" i="8"/>
  <c r="AK632" i="8"/>
  <c r="AK633" i="8"/>
  <c r="AK634" i="8"/>
  <c r="AK635" i="8"/>
  <c r="AK636" i="8"/>
  <c r="AM636" i="8" s="1"/>
  <c r="AK637" i="8"/>
  <c r="AM637" i="8" s="1"/>
  <c r="AK638" i="8"/>
  <c r="AK639" i="8"/>
  <c r="AK640" i="8"/>
  <c r="AK641" i="8"/>
  <c r="AM641" i="8" s="1"/>
  <c r="AK642" i="8"/>
  <c r="AK643" i="8"/>
  <c r="AK644" i="8"/>
  <c r="AM644" i="8" s="1"/>
  <c r="AK645" i="8"/>
  <c r="AM645" i="8" s="1"/>
  <c r="AK646" i="8"/>
  <c r="AK647" i="8"/>
  <c r="AK648" i="8"/>
  <c r="AM648" i="8" s="1"/>
  <c r="AK649" i="8"/>
  <c r="AM649" i="8" s="1"/>
  <c r="AK650" i="8"/>
  <c r="AK651" i="8"/>
  <c r="AK652" i="8"/>
  <c r="AK653" i="8"/>
  <c r="AM653" i="8" s="1"/>
  <c r="AK654" i="8"/>
  <c r="AM654" i="8" s="1"/>
  <c r="AK655" i="8"/>
  <c r="AK656" i="8"/>
  <c r="AK657" i="8"/>
  <c r="AM657" i="8" s="1"/>
  <c r="AK658" i="8"/>
  <c r="AK659" i="8"/>
  <c r="AK660" i="8"/>
  <c r="AM660" i="8" s="1"/>
  <c r="AK661" i="8"/>
  <c r="AM661" i="8" s="1"/>
  <c r="AK662" i="8"/>
  <c r="AK663" i="8"/>
  <c r="AK664" i="8"/>
  <c r="AM664" i="8" s="1"/>
  <c r="AK665" i="8"/>
  <c r="AM665" i="8" s="1"/>
  <c r="AK666" i="8"/>
  <c r="AK667" i="8"/>
  <c r="AK668" i="8"/>
  <c r="AK669" i="8"/>
  <c r="AM669" i="8" s="1"/>
  <c r="AK670" i="8"/>
  <c r="AK671" i="8"/>
  <c r="AK672" i="8"/>
  <c r="AK673" i="8"/>
  <c r="AM673" i="8" s="1"/>
  <c r="AK674" i="8"/>
  <c r="AK675" i="8"/>
  <c r="AK679" i="8"/>
  <c r="AM679" i="8" s="1"/>
  <c r="AK680" i="8"/>
  <c r="AM680" i="8" s="1"/>
  <c r="AK681" i="8"/>
  <c r="AK682" i="8"/>
  <c r="AM624" i="8"/>
  <c r="AK269" i="8"/>
  <c r="AK270" i="8"/>
  <c r="AK271" i="8"/>
  <c r="AK272" i="8"/>
  <c r="AK273" i="8"/>
  <c r="AK277" i="8"/>
  <c r="AK278" i="8"/>
  <c r="AK279" i="8"/>
  <c r="AK280" i="8"/>
  <c r="AK281" i="8"/>
  <c r="AK282" i="8"/>
  <c r="AK283" i="8"/>
  <c r="AK284" i="8"/>
  <c r="AK285" i="8"/>
  <c r="AK286" i="8"/>
  <c r="AK287" i="8"/>
  <c r="AK288" i="8"/>
  <c r="AK289" i="8"/>
  <c r="AK290" i="8"/>
  <c r="AK291" i="8"/>
  <c r="AK292" i="8"/>
  <c r="AK293" i="8"/>
  <c r="AM293" i="8" s="1"/>
  <c r="AK294" i="8"/>
  <c r="AK295" i="8"/>
  <c r="AK296" i="8"/>
  <c r="AK297" i="8"/>
  <c r="AK298" i="8"/>
  <c r="AK299" i="8"/>
  <c r="AK300" i="8"/>
  <c r="AM300" i="8" s="1"/>
  <c r="AK301" i="8"/>
  <c r="AK302" i="8"/>
  <c r="AK303" i="8"/>
  <c r="AK304" i="8"/>
  <c r="AK305" i="8"/>
  <c r="AK306" i="8"/>
  <c r="AK307" i="8"/>
  <c r="AK308" i="8"/>
  <c r="AK309" i="8"/>
  <c r="AK310" i="8"/>
  <c r="AK311" i="8"/>
  <c r="AK312" i="8"/>
  <c r="AK313" i="8"/>
  <c r="AK314" i="8"/>
  <c r="AK315" i="8"/>
  <c r="AK316" i="8"/>
  <c r="AK317" i="8"/>
  <c r="AK318" i="8"/>
  <c r="AK319" i="8"/>
  <c r="AK320" i="8"/>
  <c r="AK321" i="8"/>
  <c r="AK322" i="8"/>
  <c r="AK323" i="8"/>
  <c r="AK324" i="8"/>
  <c r="AK325" i="8"/>
  <c r="AM325" i="8" s="1"/>
  <c r="AK326" i="8"/>
  <c r="AK327" i="8"/>
  <c r="AK328" i="8"/>
  <c r="AK329" i="8"/>
  <c r="AK330" i="8"/>
  <c r="AK331" i="8"/>
  <c r="AK332" i="8"/>
  <c r="AK333" i="8"/>
  <c r="AK334" i="8"/>
  <c r="AK335" i="8"/>
  <c r="AK336" i="8"/>
  <c r="AK337" i="8"/>
  <c r="AK338" i="8"/>
  <c r="AK339" i="8"/>
  <c r="AK340" i="8"/>
  <c r="AK344" i="8"/>
  <c r="AM344" i="8" s="1"/>
  <c r="AK345" i="8"/>
  <c r="AK346" i="8"/>
  <c r="AK347" i="8"/>
  <c r="AK348" i="8"/>
  <c r="AK349" i="8"/>
  <c r="AK350" i="8"/>
  <c r="AK351" i="8"/>
  <c r="AK352" i="8"/>
  <c r="AK353" i="8"/>
  <c r="AK354" i="8"/>
  <c r="AK355" i="8"/>
  <c r="AK356" i="8"/>
  <c r="AK357" i="8"/>
  <c r="AK358" i="8"/>
  <c r="AK359" i="8"/>
  <c r="AK360" i="8"/>
  <c r="AM360" i="8" s="1"/>
  <c r="AK361" i="8"/>
  <c r="AK362" i="8"/>
  <c r="AK363" i="8"/>
  <c r="AK364" i="8"/>
  <c r="AK365" i="8"/>
  <c r="AK366" i="8"/>
  <c r="AK367" i="8"/>
  <c r="AM367" i="8" s="1"/>
  <c r="AK368" i="8"/>
  <c r="AK369" i="8"/>
  <c r="AK370" i="8"/>
  <c r="AK371" i="8"/>
  <c r="AK372" i="8"/>
  <c r="AK373" i="8"/>
  <c r="AK374" i="8"/>
  <c r="AK375" i="8"/>
  <c r="AK376" i="8"/>
  <c r="AM376" i="8" s="1"/>
  <c r="AK377" i="8"/>
  <c r="AK378" i="8"/>
  <c r="AK379" i="8"/>
  <c r="AK380" i="8"/>
  <c r="AK381" i="8"/>
  <c r="AK382" i="8"/>
  <c r="AK383" i="8"/>
  <c r="AK384" i="8"/>
  <c r="AK385" i="8"/>
  <c r="AK386" i="8"/>
  <c r="AK387" i="8"/>
  <c r="AK388" i="8"/>
  <c r="AK389" i="8"/>
  <c r="AK390" i="8"/>
  <c r="AK391" i="8"/>
  <c r="AK392" i="8"/>
  <c r="AM392" i="8" s="1"/>
  <c r="AK393" i="8"/>
  <c r="AK394" i="8"/>
  <c r="AK395" i="8"/>
  <c r="AK396" i="8"/>
  <c r="AK397" i="8"/>
  <c r="AK398" i="8"/>
  <c r="AK399" i="8"/>
  <c r="AK400" i="8"/>
  <c r="AK401" i="8"/>
  <c r="AK402" i="8"/>
  <c r="AK403" i="8"/>
  <c r="AK404" i="8"/>
  <c r="AK405" i="8"/>
  <c r="AK406" i="8"/>
  <c r="AK407" i="8"/>
  <c r="AK411" i="8"/>
  <c r="AM411" i="8" s="1"/>
  <c r="AK412" i="8"/>
  <c r="AK413" i="8"/>
  <c r="AK414" i="8"/>
  <c r="AK415" i="8"/>
  <c r="AK416" i="8"/>
  <c r="AK417" i="8"/>
  <c r="AK418" i="8"/>
  <c r="AK419" i="8"/>
  <c r="AK420" i="8"/>
  <c r="AK421" i="8"/>
  <c r="AK422" i="8"/>
  <c r="AK423" i="8"/>
  <c r="AM423" i="8" s="1"/>
  <c r="AK424" i="8"/>
  <c r="AK425" i="8"/>
  <c r="AK426" i="8"/>
  <c r="AK427" i="8"/>
  <c r="AM427" i="8" s="1"/>
  <c r="AK428" i="8"/>
  <c r="AK429" i="8"/>
  <c r="AK430" i="8"/>
  <c r="AK431" i="8"/>
  <c r="AK432" i="8"/>
  <c r="AK433" i="8"/>
  <c r="AK434" i="8"/>
  <c r="AK435" i="8"/>
  <c r="AK436" i="8"/>
  <c r="AK437" i="8"/>
  <c r="AK438" i="8"/>
  <c r="AK439" i="8"/>
  <c r="AK440" i="8"/>
  <c r="AK441" i="8"/>
  <c r="AK442" i="8"/>
  <c r="AK443" i="8"/>
  <c r="AK444" i="8"/>
  <c r="AK445" i="8"/>
  <c r="AK446" i="8"/>
  <c r="AK447" i="8"/>
  <c r="AK448" i="8"/>
  <c r="AK449" i="8"/>
  <c r="AK450" i="8"/>
  <c r="AK451" i="8"/>
  <c r="AK452" i="8"/>
  <c r="AK453" i="8"/>
  <c r="AK454" i="8"/>
  <c r="AK455" i="8"/>
  <c r="AM455" i="8" s="1"/>
  <c r="AK456" i="8"/>
  <c r="AK457" i="8"/>
  <c r="AK458" i="8"/>
  <c r="AK459" i="8"/>
  <c r="AM459" i="8" s="1"/>
  <c r="AK460" i="8"/>
  <c r="AK461" i="8"/>
  <c r="AK462" i="8"/>
  <c r="AK463" i="8"/>
  <c r="AK464" i="8"/>
  <c r="AK465" i="8"/>
  <c r="AK466" i="8"/>
  <c r="AK467" i="8"/>
  <c r="AK468" i="8"/>
  <c r="AK469" i="8"/>
  <c r="AK470" i="8"/>
  <c r="AK471" i="8"/>
  <c r="AK472" i="8"/>
  <c r="AK473" i="8"/>
  <c r="AK474" i="8"/>
  <c r="AK478" i="8"/>
  <c r="AK479" i="8"/>
  <c r="AK480" i="8"/>
  <c r="AK481" i="8"/>
  <c r="AK482" i="8"/>
  <c r="AK483" i="8"/>
  <c r="AK484" i="8"/>
  <c r="AK485" i="8"/>
  <c r="AK486" i="8"/>
  <c r="AK487" i="8"/>
  <c r="AK488" i="8"/>
  <c r="AK489" i="8"/>
  <c r="AK490" i="8"/>
  <c r="AM490" i="8" s="1"/>
  <c r="AK491" i="8"/>
  <c r="AK492" i="8"/>
  <c r="AK493" i="8"/>
  <c r="AK494" i="8"/>
  <c r="AM494" i="8" s="1"/>
  <c r="AK495" i="8"/>
  <c r="AK496" i="8"/>
  <c r="AK497" i="8"/>
  <c r="AK498" i="8"/>
  <c r="AK499" i="8"/>
  <c r="AK500" i="8"/>
  <c r="AK501" i="8"/>
  <c r="AK502" i="8"/>
  <c r="AK503" i="8"/>
  <c r="AK504" i="8"/>
  <c r="AK505" i="8"/>
  <c r="AK506" i="8"/>
  <c r="AK507" i="8"/>
  <c r="AK508" i="8"/>
  <c r="AK509" i="8"/>
  <c r="AK510" i="8"/>
  <c r="AK511" i="8"/>
  <c r="AK512" i="8"/>
  <c r="AK513" i="8"/>
  <c r="AK514" i="8"/>
  <c r="AK515" i="8"/>
  <c r="AK516" i="8"/>
  <c r="AK517" i="8"/>
  <c r="AK518" i="8"/>
  <c r="AK519" i="8"/>
  <c r="AK520" i="8"/>
  <c r="AK521" i="8"/>
  <c r="AK522" i="8"/>
  <c r="AM522" i="8" s="1"/>
  <c r="AK523" i="8"/>
  <c r="AK524" i="8"/>
  <c r="AK525" i="8"/>
  <c r="AK526" i="8"/>
  <c r="AM526" i="8" s="1"/>
  <c r="AK527" i="8"/>
  <c r="AK528" i="8"/>
  <c r="AK529" i="8"/>
  <c r="AK530" i="8"/>
  <c r="AK531" i="8"/>
  <c r="AK532" i="8"/>
  <c r="AK533" i="8"/>
  <c r="AK534" i="8"/>
  <c r="AK535" i="8"/>
  <c r="AK536" i="8"/>
  <c r="AK537" i="8"/>
  <c r="AK538" i="8"/>
  <c r="AK539" i="8"/>
  <c r="AK540" i="8"/>
  <c r="AK541" i="8"/>
  <c r="AK545" i="8"/>
  <c r="AK546" i="8"/>
  <c r="AK547" i="8"/>
  <c r="AK548" i="8"/>
  <c r="AK549" i="8"/>
  <c r="AK550" i="8"/>
  <c r="AK551" i="8"/>
  <c r="AK552" i="8"/>
  <c r="AK553" i="8"/>
  <c r="AK554" i="8"/>
  <c r="AK555" i="8"/>
  <c r="AK556" i="8"/>
  <c r="AK557" i="8"/>
  <c r="AM557" i="8" s="1"/>
  <c r="AK558" i="8"/>
  <c r="AK559" i="8"/>
  <c r="AK560" i="8"/>
  <c r="AK561" i="8"/>
  <c r="AM561" i="8" s="1"/>
  <c r="AK562" i="8"/>
  <c r="AI283" i="11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156" i="8"/>
  <c r="AL157" i="8"/>
  <c r="AL158" i="8"/>
  <c r="AL159" i="8"/>
  <c r="AL160" i="8"/>
  <c r="AL161" i="8"/>
  <c r="AL162" i="8"/>
  <c r="AL163" i="8"/>
  <c r="AL164" i="8"/>
  <c r="AL165" i="8"/>
  <c r="AL166" i="8"/>
  <c r="AL167" i="8"/>
  <c r="AL168" i="8"/>
  <c r="AL169" i="8"/>
  <c r="AL170" i="8"/>
  <c r="AL171" i="8"/>
  <c r="AL172" i="8"/>
  <c r="AL173" i="8"/>
  <c r="AL174" i="8"/>
  <c r="AL175" i="8"/>
  <c r="AL176" i="8"/>
  <c r="AL177" i="8"/>
  <c r="AL178" i="8"/>
  <c r="AL179" i="8"/>
  <c r="AL180" i="8"/>
  <c r="AL181" i="8"/>
  <c r="AL182" i="8"/>
  <c r="AL183" i="8"/>
  <c r="AL184" i="8"/>
  <c r="AL185" i="8"/>
  <c r="AL186" i="8"/>
  <c r="AL187" i="8"/>
  <c r="AL188" i="8"/>
  <c r="AL189" i="8"/>
  <c r="AL190" i="8"/>
  <c r="AL191" i="8"/>
  <c r="AL192" i="8"/>
  <c r="AL193" i="8"/>
  <c r="AL194" i="8"/>
  <c r="AL195" i="8"/>
  <c r="AL196" i="8"/>
  <c r="AL197" i="8"/>
  <c r="AL198" i="8"/>
  <c r="AL199" i="8"/>
  <c r="AL200" i="8"/>
  <c r="AL201" i="8"/>
  <c r="AL202" i="8"/>
  <c r="AL203" i="8"/>
  <c r="AL204" i="8"/>
  <c r="AL205" i="8"/>
  <c r="AL206" i="8"/>
  <c r="AL210" i="8"/>
  <c r="AL211" i="8"/>
  <c r="AL212" i="8"/>
  <c r="AL213" i="8"/>
  <c r="AL214" i="8"/>
  <c r="AL215" i="8"/>
  <c r="AL216" i="8"/>
  <c r="AL217" i="8"/>
  <c r="AL218" i="8"/>
  <c r="AL219" i="8"/>
  <c r="AL220" i="8"/>
  <c r="AL221" i="8"/>
  <c r="AL222" i="8"/>
  <c r="AL223" i="8"/>
  <c r="AL224" i="8"/>
  <c r="AL225" i="8"/>
  <c r="AL226" i="8"/>
  <c r="AL227" i="8"/>
  <c r="AL228" i="8"/>
  <c r="AL229" i="8"/>
  <c r="AL230" i="8"/>
  <c r="AL231" i="8"/>
  <c r="AL232" i="8"/>
  <c r="AL233" i="8"/>
  <c r="AL234" i="8"/>
  <c r="AL235" i="8"/>
  <c r="AL236" i="8"/>
  <c r="AL237" i="8"/>
  <c r="AL238" i="8"/>
  <c r="AL239" i="8"/>
  <c r="AL240" i="8"/>
  <c r="AL241" i="8"/>
  <c r="AL242" i="8"/>
  <c r="AL243" i="8"/>
  <c r="AL244" i="8"/>
  <c r="AL245" i="8"/>
  <c r="AL246" i="8"/>
  <c r="AL247" i="8"/>
  <c r="AL248" i="8"/>
  <c r="AL249" i="8"/>
  <c r="AL250" i="8"/>
  <c r="AL251" i="8"/>
  <c r="AL252" i="8"/>
  <c r="AL253" i="8"/>
  <c r="AL254" i="8"/>
  <c r="AL255" i="8"/>
  <c r="AL256" i="8"/>
  <c r="AL257" i="8"/>
  <c r="AL258" i="8"/>
  <c r="AL259" i="8"/>
  <c r="AL260" i="8"/>
  <c r="AL261" i="8"/>
  <c r="AL262" i="8"/>
  <c r="AL263" i="8"/>
  <c r="AL264" i="8"/>
  <c r="AL265" i="8"/>
  <c r="AL266" i="8"/>
  <c r="AL267" i="8"/>
  <c r="AL268" i="8"/>
  <c r="AL269" i="8"/>
  <c r="AL270" i="8"/>
  <c r="AL271" i="8"/>
  <c r="AL272" i="8"/>
  <c r="AL273" i="8"/>
  <c r="AL277" i="8"/>
  <c r="AL278" i="8"/>
  <c r="AL279" i="8"/>
  <c r="AL280" i="8"/>
  <c r="AL281" i="8"/>
  <c r="AL282" i="8"/>
  <c r="AL283" i="8"/>
  <c r="AL284" i="8"/>
  <c r="AL285" i="8"/>
  <c r="AL286" i="8"/>
  <c r="AL287" i="8"/>
  <c r="AL288" i="8"/>
  <c r="AL289" i="8"/>
  <c r="AL290" i="8"/>
  <c r="AL291" i="8"/>
  <c r="AL292" i="8"/>
  <c r="AL293" i="8"/>
  <c r="AL294" i="8"/>
  <c r="AL295" i="8"/>
  <c r="AL296" i="8"/>
  <c r="AL297" i="8"/>
  <c r="AL298" i="8"/>
  <c r="AL299" i="8"/>
  <c r="AL300" i="8"/>
  <c r="AL301" i="8"/>
  <c r="AL302" i="8"/>
  <c r="AL303" i="8"/>
  <c r="AL304" i="8"/>
  <c r="AL305" i="8"/>
  <c r="AL306" i="8"/>
  <c r="AL307" i="8"/>
  <c r="AL308" i="8"/>
  <c r="AL309" i="8"/>
  <c r="AL310" i="8"/>
  <c r="AL311" i="8"/>
  <c r="AL312" i="8"/>
  <c r="AL313" i="8"/>
  <c r="AL314" i="8"/>
  <c r="AL315" i="8"/>
  <c r="AL316" i="8"/>
  <c r="AL317" i="8"/>
  <c r="AL318" i="8"/>
  <c r="AL319" i="8"/>
  <c r="AL320" i="8"/>
  <c r="AL321" i="8"/>
  <c r="AL322" i="8"/>
  <c r="AL323" i="8"/>
  <c r="AL324" i="8"/>
  <c r="AL325" i="8"/>
  <c r="AL326" i="8"/>
  <c r="AL327" i="8"/>
  <c r="AL328" i="8"/>
  <c r="AL329" i="8"/>
  <c r="AL330" i="8"/>
  <c r="AL331" i="8"/>
  <c r="AL332" i="8"/>
  <c r="AL333" i="8"/>
  <c r="AL334" i="8"/>
  <c r="AL335" i="8"/>
  <c r="AL336" i="8"/>
  <c r="AL337" i="8"/>
  <c r="AL338" i="8"/>
  <c r="AL339" i="8"/>
  <c r="AL340" i="8"/>
  <c r="AL344" i="8"/>
  <c r="AL345" i="8"/>
  <c r="AL346" i="8"/>
  <c r="AL347" i="8"/>
  <c r="AL348" i="8"/>
  <c r="AL349" i="8"/>
  <c r="AL350" i="8"/>
  <c r="AL351" i="8"/>
  <c r="AL352" i="8"/>
  <c r="AL353" i="8"/>
  <c r="AL354" i="8"/>
  <c r="AL355" i="8"/>
  <c r="AL356" i="8"/>
  <c r="AL357" i="8"/>
  <c r="AL358" i="8"/>
  <c r="AL359" i="8"/>
  <c r="AL360" i="8"/>
  <c r="AL361" i="8"/>
  <c r="AL362" i="8"/>
  <c r="AL363" i="8"/>
  <c r="AL364" i="8"/>
  <c r="AL365" i="8"/>
  <c r="AL366" i="8"/>
  <c r="AL367" i="8"/>
  <c r="AL368" i="8"/>
  <c r="AL369" i="8"/>
  <c r="AL370" i="8"/>
  <c r="AL371" i="8"/>
  <c r="AL372" i="8"/>
  <c r="AL373" i="8"/>
  <c r="AL374" i="8"/>
  <c r="AL375" i="8"/>
  <c r="AL376" i="8"/>
  <c r="AL377" i="8"/>
  <c r="AL378" i="8"/>
  <c r="AL379" i="8"/>
  <c r="AL380" i="8"/>
  <c r="AL381" i="8"/>
  <c r="AL382" i="8"/>
  <c r="AL383" i="8"/>
  <c r="AL384" i="8"/>
  <c r="AL385" i="8"/>
  <c r="AL386" i="8"/>
  <c r="AL387" i="8"/>
  <c r="AL388" i="8"/>
  <c r="AL389" i="8"/>
  <c r="AL390" i="8"/>
  <c r="AL391" i="8"/>
  <c r="AL392" i="8"/>
  <c r="AL393" i="8"/>
  <c r="AL394" i="8"/>
  <c r="AL395" i="8"/>
  <c r="AL396" i="8"/>
  <c r="AL397" i="8"/>
  <c r="AL398" i="8"/>
  <c r="AL399" i="8"/>
  <c r="AL400" i="8"/>
  <c r="AL401" i="8"/>
  <c r="AL402" i="8"/>
  <c r="AL403" i="8"/>
  <c r="AL404" i="8"/>
  <c r="AL405" i="8"/>
  <c r="AL406" i="8"/>
  <c r="AL407" i="8"/>
  <c r="AL411" i="8"/>
  <c r="AL412" i="8"/>
  <c r="AL413" i="8"/>
  <c r="AL414" i="8"/>
  <c r="AL415" i="8"/>
  <c r="AL416" i="8"/>
  <c r="AL417" i="8"/>
  <c r="AL418" i="8"/>
  <c r="AL419" i="8"/>
  <c r="AL420" i="8"/>
  <c r="AL421" i="8"/>
  <c r="AL422" i="8"/>
  <c r="AL423" i="8"/>
  <c r="AL424" i="8"/>
  <c r="AL425" i="8"/>
  <c r="AL426" i="8"/>
  <c r="AL427" i="8"/>
  <c r="AL428" i="8"/>
  <c r="AL429" i="8"/>
  <c r="AL430" i="8"/>
  <c r="AL431" i="8"/>
  <c r="AL432" i="8"/>
  <c r="AL433" i="8"/>
  <c r="AL434" i="8"/>
  <c r="AL435" i="8"/>
  <c r="AL436" i="8"/>
  <c r="AL437" i="8"/>
  <c r="AL438" i="8"/>
  <c r="AL439" i="8"/>
  <c r="AL440" i="8"/>
  <c r="AL441" i="8"/>
  <c r="AL442" i="8"/>
  <c r="AL443" i="8"/>
  <c r="AL444" i="8"/>
  <c r="AL445" i="8"/>
  <c r="AL446" i="8"/>
  <c r="AL447" i="8"/>
  <c r="AL448" i="8"/>
  <c r="AL449" i="8"/>
  <c r="AL450" i="8"/>
  <c r="AL451" i="8"/>
  <c r="AL452" i="8"/>
  <c r="AL453" i="8"/>
  <c r="AL454" i="8"/>
  <c r="AL455" i="8"/>
  <c r="AL456" i="8"/>
  <c r="AL457" i="8"/>
  <c r="AL458" i="8"/>
  <c r="AL459" i="8"/>
  <c r="AL460" i="8"/>
  <c r="AL461" i="8"/>
  <c r="AL462" i="8"/>
  <c r="AL463" i="8"/>
  <c r="AL464" i="8"/>
  <c r="AL465" i="8"/>
  <c r="AL466" i="8"/>
  <c r="AL467" i="8"/>
  <c r="AL468" i="8"/>
  <c r="AL469" i="8"/>
  <c r="AL470" i="8"/>
  <c r="AL471" i="8"/>
  <c r="AL472" i="8"/>
  <c r="AL473" i="8"/>
  <c r="AL474" i="8"/>
  <c r="AL478" i="8"/>
  <c r="AL479" i="8"/>
  <c r="AL480" i="8"/>
  <c r="AL481" i="8"/>
  <c r="AL482" i="8"/>
  <c r="AL483" i="8"/>
  <c r="AL484" i="8"/>
  <c r="AL485" i="8"/>
  <c r="AL486" i="8"/>
  <c r="AL487" i="8"/>
  <c r="AL488" i="8"/>
  <c r="AL489" i="8"/>
  <c r="AL490" i="8"/>
  <c r="AL491" i="8"/>
  <c r="AL492" i="8"/>
  <c r="AL493" i="8"/>
  <c r="AL494" i="8"/>
  <c r="AL495" i="8"/>
  <c r="AL496" i="8"/>
  <c r="AL497" i="8"/>
  <c r="AL498" i="8"/>
  <c r="AL499" i="8"/>
  <c r="AL500" i="8"/>
  <c r="AL501" i="8"/>
  <c r="AL502" i="8"/>
  <c r="AL503" i="8"/>
  <c r="AL504" i="8"/>
  <c r="AL505" i="8"/>
  <c r="AL506" i="8"/>
  <c r="AL507" i="8"/>
  <c r="AL508" i="8"/>
  <c r="AL509" i="8"/>
  <c r="AL510" i="8"/>
  <c r="AL511" i="8"/>
  <c r="AL512" i="8"/>
  <c r="AL513" i="8"/>
  <c r="AL514" i="8"/>
  <c r="AL515" i="8"/>
  <c r="AL516" i="8"/>
  <c r="AL517" i="8"/>
  <c r="AL518" i="8"/>
  <c r="AL519" i="8"/>
  <c r="AL520" i="8"/>
  <c r="AL521" i="8"/>
  <c r="AL522" i="8"/>
  <c r="AL523" i="8"/>
  <c r="AL524" i="8"/>
  <c r="AL525" i="8"/>
  <c r="AL526" i="8"/>
  <c r="AL527" i="8"/>
  <c r="AL528" i="8"/>
  <c r="AL529" i="8"/>
  <c r="AL530" i="8"/>
  <c r="AL531" i="8"/>
  <c r="AL532" i="8"/>
  <c r="AL533" i="8"/>
  <c r="AL534" i="8"/>
  <c r="AL535" i="8"/>
  <c r="AL536" i="8"/>
  <c r="AL537" i="8"/>
  <c r="AL538" i="8"/>
  <c r="AL539" i="8"/>
  <c r="AL540" i="8"/>
  <c r="AL541" i="8"/>
  <c r="AL545" i="8"/>
  <c r="AL546" i="8"/>
  <c r="AL547" i="8"/>
  <c r="AL548" i="8"/>
  <c r="AL549" i="8"/>
  <c r="AL550" i="8"/>
  <c r="AL551" i="8"/>
  <c r="AL552" i="8"/>
  <c r="AL553" i="8"/>
  <c r="AL554" i="8"/>
  <c r="AL555" i="8"/>
  <c r="AL556" i="8"/>
  <c r="AL557" i="8"/>
  <c r="AL558" i="8"/>
  <c r="AL559" i="8"/>
  <c r="AL560" i="8"/>
  <c r="AL561" i="8"/>
  <c r="AL562" i="8"/>
  <c r="AL563" i="8"/>
  <c r="AL564" i="8"/>
  <c r="AL565" i="8"/>
  <c r="AL566" i="8"/>
  <c r="AL567" i="8"/>
  <c r="AL568" i="8"/>
  <c r="AL569" i="8"/>
  <c r="AL570" i="8"/>
  <c r="AL571" i="8"/>
  <c r="AL572" i="8"/>
  <c r="AL573" i="8"/>
  <c r="AL574" i="8"/>
  <c r="AL575" i="8"/>
  <c r="AL576" i="8"/>
  <c r="AL577" i="8"/>
  <c r="AL578" i="8"/>
  <c r="AL579" i="8"/>
  <c r="AM579" i="8" s="1"/>
  <c r="AL580" i="8"/>
  <c r="AL581" i="8"/>
  <c r="AL582" i="8"/>
  <c r="AL583" i="8"/>
  <c r="AM583" i="8" s="1"/>
  <c r="AL584" i="8"/>
  <c r="AL585" i="8"/>
  <c r="AL586" i="8"/>
  <c r="AL587" i="8"/>
  <c r="AL588" i="8"/>
  <c r="AL589" i="8"/>
  <c r="AL590" i="8"/>
  <c r="AL591" i="8"/>
  <c r="AL592" i="8"/>
  <c r="AL593" i="8"/>
  <c r="AL594" i="8"/>
  <c r="AL595" i="8"/>
  <c r="AL596" i="8"/>
  <c r="AL597" i="8"/>
  <c r="AL598" i="8"/>
  <c r="AL599" i="8"/>
  <c r="AL600" i="8"/>
  <c r="AL601" i="8"/>
  <c r="AL602" i="8"/>
  <c r="AL603" i="8"/>
  <c r="AL604" i="8"/>
  <c r="AL605" i="8"/>
  <c r="AL606" i="8"/>
  <c r="AL607" i="8"/>
  <c r="AL608" i="8"/>
  <c r="AL612" i="8"/>
  <c r="AL613" i="8"/>
  <c r="AL614" i="8"/>
  <c r="AM614" i="8" s="1"/>
  <c r="AL615" i="8"/>
  <c r="AL616" i="8"/>
  <c r="AL617" i="8"/>
  <c r="AL618" i="8"/>
  <c r="AM618" i="8" s="1"/>
  <c r="AL619" i="8"/>
  <c r="AL620" i="8"/>
  <c r="AL621" i="8"/>
  <c r="AL622" i="8"/>
  <c r="AL623" i="8"/>
  <c r="AL624" i="8"/>
  <c r="AL625" i="8"/>
  <c r="AL626" i="8"/>
  <c r="AL627" i="8"/>
  <c r="AL628" i="8"/>
  <c r="AL629" i="8"/>
  <c r="AL630" i="8"/>
  <c r="AL631" i="8"/>
  <c r="AL632" i="8"/>
  <c r="AL633" i="8"/>
  <c r="AL634" i="8"/>
  <c r="AL635" i="8"/>
  <c r="AL636" i="8"/>
  <c r="AL637" i="8"/>
  <c r="AL638" i="8"/>
  <c r="AL639" i="8"/>
  <c r="AL640" i="8"/>
  <c r="AL641" i="8"/>
  <c r="AL642" i="8"/>
  <c r="AL643" i="8"/>
  <c r="AL644" i="8"/>
  <c r="AL645" i="8"/>
  <c r="AL646" i="8"/>
  <c r="AL647" i="8"/>
  <c r="AL648" i="8"/>
  <c r="AL649" i="8"/>
  <c r="AL650" i="8"/>
  <c r="AL651" i="8"/>
  <c r="AL652" i="8"/>
  <c r="AL653" i="8"/>
  <c r="AL654" i="8"/>
  <c r="AL655" i="8"/>
  <c r="AL656" i="8"/>
  <c r="AL657" i="8"/>
  <c r="AL658" i="8"/>
  <c r="AL659" i="8"/>
  <c r="AL660" i="8"/>
  <c r="AL661" i="8"/>
  <c r="AL662" i="8"/>
  <c r="AL663" i="8"/>
  <c r="AL664" i="8"/>
  <c r="AL665" i="8"/>
  <c r="AL666" i="8"/>
  <c r="AL667" i="8"/>
  <c r="AL668" i="8"/>
  <c r="AL669" i="8"/>
  <c r="AL670" i="8"/>
  <c r="AL671" i="8"/>
  <c r="AL672" i="8"/>
  <c r="AL673" i="8"/>
  <c r="AL674" i="8"/>
  <c r="AL675" i="8"/>
  <c r="AL679" i="8"/>
  <c r="AL680" i="8"/>
  <c r="AL681" i="8"/>
  <c r="AL682" i="8"/>
  <c r="AK10" i="8"/>
  <c r="AM10" i="8" s="1"/>
  <c r="AK11" i="8"/>
  <c r="AK12" i="8"/>
  <c r="AM12" i="8" s="1"/>
  <c r="AK13" i="8"/>
  <c r="AM13" i="8" s="1"/>
  <c r="AK14" i="8"/>
  <c r="AM14" i="8" s="1"/>
  <c r="AK15" i="8"/>
  <c r="AK16" i="8"/>
  <c r="AM16" i="8" s="1"/>
  <c r="AK17" i="8"/>
  <c r="AM17" i="8" s="1"/>
  <c r="AK18" i="8"/>
  <c r="AM18" i="8" s="1"/>
  <c r="AK19" i="8"/>
  <c r="AK20" i="8"/>
  <c r="AM20" i="8" s="1"/>
  <c r="AK21" i="8"/>
  <c r="AM21" i="8" s="1"/>
  <c r="AK22" i="8"/>
  <c r="AM22" i="8" s="1"/>
  <c r="AK23" i="8"/>
  <c r="AK24" i="8"/>
  <c r="AM24" i="8" s="1"/>
  <c r="AK25" i="8"/>
  <c r="AM25" i="8" s="1"/>
  <c r="AK26" i="8"/>
  <c r="AM26" i="8" s="1"/>
  <c r="AK27" i="8"/>
  <c r="AK28" i="8"/>
  <c r="AM28" i="8" s="1"/>
  <c r="AK29" i="8"/>
  <c r="AM29" i="8" s="1"/>
  <c r="AK30" i="8"/>
  <c r="AM30" i="8" s="1"/>
  <c r="AK31" i="8"/>
  <c r="AK32" i="8"/>
  <c r="AM32" i="8" s="1"/>
  <c r="AK33" i="8"/>
  <c r="AM33" i="8" s="1"/>
  <c r="AK34" i="8"/>
  <c r="AM34" i="8" s="1"/>
  <c r="AK35" i="8"/>
  <c r="AK36" i="8"/>
  <c r="AM36" i="8" s="1"/>
  <c r="AK37" i="8"/>
  <c r="AM37" i="8" s="1"/>
  <c r="AK38" i="8"/>
  <c r="AM38" i="8" s="1"/>
  <c r="AK39" i="8"/>
  <c r="AK40" i="8"/>
  <c r="AM40" i="8" s="1"/>
  <c r="AK41" i="8"/>
  <c r="AM41" i="8" s="1"/>
  <c r="AK42" i="8"/>
  <c r="AM42" i="8" s="1"/>
  <c r="AK43" i="8"/>
  <c r="AK44" i="8"/>
  <c r="AM44" i="8" s="1"/>
  <c r="AK45" i="8"/>
  <c r="AM45" i="8" s="1"/>
  <c r="AK46" i="8"/>
  <c r="AM46" i="8" s="1"/>
  <c r="AK47" i="8"/>
  <c r="AK48" i="8"/>
  <c r="AM48" i="8" s="1"/>
  <c r="AK49" i="8"/>
  <c r="AM49" i="8" s="1"/>
  <c r="AK50" i="8"/>
  <c r="AM50" i="8" s="1"/>
  <c r="AK51" i="8"/>
  <c r="AK52" i="8"/>
  <c r="AM52" i="8" s="1"/>
  <c r="AK53" i="8"/>
  <c r="AM53" i="8" s="1"/>
  <c r="AK54" i="8"/>
  <c r="AM54" i="8" s="1"/>
  <c r="AK55" i="8"/>
  <c r="AK56" i="8"/>
  <c r="AM56" i="8" s="1"/>
  <c r="AK57" i="8"/>
  <c r="AM57" i="8" s="1"/>
  <c r="AK58" i="8"/>
  <c r="AM58" i="8" s="1"/>
  <c r="AK59" i="8"/>
  <c r="AK60" i="8"/>
  <c r="AM60" i="8" s="1"/>
  <c r="AK61" i="8"/>
  <c r="AM61" i="8" s="1"/>
  <c r="AK62" i="8"/>
  <c r="AM62" i="8" s="1"/>
  <c r="AK63" i="8"/>
  <c r="AK64" i="8"/>
  <c r="AM64" i="8" s="1"/>
  <c r="AK65" i="8"/>
  <c r="AM65" i="8" s="1"/>
  <c r="AK66" i="8"/>
  <c r="AM66" i="8" s="1"/>
  <c r="AK67" i="8"/>
  <c r="AK68" i="8"/>
  <c r="AM68" i="8" s="1"/>
  <c r="AK69" i="8"/>
  <c r="AM69" i="8" s="1"/>
  <c r="AK70" i="8"/>
  <c r="AM70" i="8" s="1"/>
  <c r="AK71" i="8"/>
  <c r="AK72" i="8"/>
  <c r="AM72" i="8" s="1"/>
  <c r="AK76" i="8"/>
  <c r="AM76" i="8" s="1"/>
  <c r="AK77" i="8"/>
  <c r="AM77" i="8" s="1"/>
  <c r="AK78" i="8"/>
  <c r="AK79" i="8"/>
  <c r="AM79" i="8" s="1"/>
  <c r="AK80" i="8"/>
  <c r="AM80" i="8" s="1"/>
  <c r="AK81" i="8"/>
  <c r="AM81" i="8" s="1"/>
  <c r="AK82" i="8"/>
  <c r="AK83" i="8"/>
  <c r="AM83" i="8" s="1"/>
  <c r="AK84" i="8"/>
  <c r="AM84" i="8" s="1"/>
  <c r="AK85" i="8"/>
  <c r="AM85" i="8" s="1"/>
  <c r="AK86" i="8"/>
  <c r="AK87" i="8"/>
  <c r="AM87" i="8" s="1"/>
  <c r="AK88" i="8"/>
  <c r="AM88" i="8" s="1"/>
  <c r="AK89" i="8"/>
  <c r="AM89" i="8" s="1"/>
  <c r="AK90" i="8"/>
  <c r="AK91" i="8"/>
  <c r="AM91" i="8" s="1"/>
  <c r="AK92" i="8"/>
  <c r="AM92" i="8" s="1"/>
  <c r="AK93" i="8"/>
  <c r="AM93" i="8" s="1"/>
  <c r="AK94" i="8"/>
  <c r="AK95" i="8"/>
  <c r="AM95" i="8" s="1"/>
  <c r="AK96" i="8"/>
  <c r="AM96" i="8" s="1"/>
  <c r="AK97" i="8"/>
  <c r="AM97" i="8" s="1"/>
  <c r="AK98" i="8"/>
  <c r="AK99" i="8"/>
  <c r="AM99" i="8" s="1"/>
  <c r="AK100" i="8"/>
  <c r="AM100" i="8" s="1"/>
  <c r="AK101" i="8"/>
  <c r="AM101" i="8" s="1"/>
  <c r="AK102" i="8"/>
  <c r="AK103" i="8"/>
  <c r="AM103" i="8" s="1"/>
  <c r="AK104" i="8"/>
  <c r="AM104" i="8" s="1"/>
  <c r="AK105" i="8"/>
  <c r="AM105" i="8" s="1"/>
  <c r="AK106" i="8"/>
  <c r="AK107" i="8"/>
  <c r="AM107" i="8" s="1"/>
  <c r="AK108" i="8"/>
  <c r="AM108" i="8" s="1"/>
  <c r="AK109" i="8"/>
  <c r="AM109" i="8" s="1"/>
  <c r="AK110" i="8"/>
  <c r="AK111" i="8"/>
  <c r="AM111" i="8" s="1"/>
  <c r="AK112" i="8"/>
  <c r="AM112" i="8" s="1"/>
  <c r="AK113" i="8"/>
  <c r="AM113" i="8" s="1"/>
  <c r="AK114" i="8"/>
  <c r="AK115" i="8"/>
  <c r="AM115" i="8" s="1"/>
  <c r="AK116" i="8"/>
  <c r="AM116" i="8" s="1"/>
  <c r="AK117" i="8"/>
  <c r="AM117" i="8" s="1"/>
  <c r="AK118" i="8"/>
  <c r="AK119" i="8"/>
  <c r="AM119" i="8" s="1"/>
  <c r="AK120" i="8"/>
  <c r="AM120" i="8" s="1"/>
  <c r="AK121" i="8"/>
  <c r="AM121" i="8" s="1"/>
  <c r="AK122" i="8"/>
  <c r="AK123" i="8"/>
  <c r="AM123" i="8" s="1"/>
  <c r="AK124" i="8"/>
  <c r="AM124" i="8" s="1"/>
  <c r="AK125" i="8"/>
  <c r="AM125" i="8" s="1"/>
  <c r="AK126" i="8"/>
  <c r="AK127" i="8"/>
  <c r="AM127" i="8" s="1"/>
  <c r="AK128" i="8"/>
  <c r="AM128" i="8" s="1"/>
  <c r="AK129" i="8"/>
  <c r="AM129" i="8" s="1"/>
  <c r="AK130" i="8"/>
  <c r="AK131" i="8"/>
  <c r="AM131" i="8" s="1"/>
  <c r="AK132" i="8"/>
  <c r="AM132" i="8" s="1"/>
  <c r="AK133" i="8"/>
  <c r="AM133" i="8" s="1"/>
  <c r="AK134" i="8"/>
  <c r="AK135" i="8"/>
  <c r="AM135" i="8" s="1"/>
  <c r="AK136" i="8"/>
  <c r="AM136" i="8" s="1"/>
  <c r="AK137" i="8"/>
  <c r="AM137" i="8" s="1"/>
  <c r="AK138" i="8"/>
  <c r="AK139" i="8"/>
  <c r="AM139" i="8" s="1"/>
  <c r="AK143" i="8"/>
  <c r="AM143" i="8" s="1"/>
  <c r="AK144" i="8"/>
  <c r="AM144" i="8" s="1"/>
  <c r="AK145" i="8"/>
  <c r="AK146" i="8"/>
  <c r="AM146" i="8" s="1"/>
  <c r="AK147" i="8"/>
  <c r="AM147" i="8" s="1"/>
  <c r="AK148" i="8"/>
  <c r="AM148" i="8" s="1"/>
  <c r="AK149" i="8"/>
  <c r="AK150" i="8"/>
  <c r="AM150" i="8" s="1"/>
  <c r="AK151" i="8"/>
  <c r="AM151" i="8" s="1"/>
  <c r="AK152" i="8"/>
  <c r="AM152" i="8" s="1"/>
  <c r="AK153" i="8"/>
  <c r="AK154" i="8"/>
  <c r="AM154" i="8" s="1"/>
  <c r="AK155" i="8"/>
  <c r="AM155" i="8" s="1"/>
  <c r="AK156" i="8"/>
  <c r="AM156" i="8" s="1"/>
  <c r="AK157" i="8"/>
  <c r="AK158" i="8"/>
  <c r="AM158" i="8" s="1"/>
  <c r="AK159" i="8"/>
  <c r="AM159" i="8" s="1"/>
  <c r="AK160" i="8"/>
  <c r="AM160" i="8" s="1"/>
  <c r="AK161" i="8"/>
  <c r="AK162" i="8"/>
  <c r="AM162" i="8" s="1"/>
  <c r="AK163" i="8"/>
  <c r="AM163" i="8" s="1"/>
  <c r="AK164" i="8"/>
  <c r="AM164" i="8" s="1"/>
  <c r="AK165" i="8"/>
  <c r="AK166" i="8"/>
  <c r="AM166" i="8" s="1"/>
  <c r="AK167" i="8"/>
  <c r="AM167" i="8" s="1"/>
  <c r="AK168" i="8"/>
  <c r="AM168" i="8" s="1"/>
  <c r="AK169" i="8"/>
  <c r="AK170" i="8"/>
  <c r="AM170" i="8" s="1"/>
  <c r="AK171" i="8"/>
  <c r="AM171" i="8" s="1"/>
  <c r="AK172" i="8"/>
  <c r="AM172" i="8" s="1"/>
  <c r="AK173" i="8"/>
  <c r="AK174" i="8"/>
  <c r="AM174" i="8" s="1"/>
  <c r="AK175" i="8"/>
  <c r="AM175" i="8" s="1"/>
  <c r="AK176" i="8"/>
  <c r="AM176" i="8" s="1"/>
  <c r="AK177" i="8"/>
  <c r="AK178" i="8"/>
  <c r="AM178" i="8" s="1"/>
  <c r="AK179" i="8"/>
  <c r="AM179" i="8" s="1"/>
  <c r="AK180" i="8"/>
  <c r="AM180" i="8" s="1"/>
  <c r="AK181" i="8"/>
  <c r="AK182" i="8"/>
  <c r="AM182" i="8" s="1"/>
  <c r="AK183" i="8"/>
  <c r="AM183" i="8" s="1"/>
  <c r="AK184" i="8"/>
  <c r="AM184" i="8" s="1"/>
  <c r="AK185" i="8"/>
  <c r="AK186" i="8"/>
  <c r="AM186" i="8" s="1"/>
  <c r="AK187" i="8"/>
  <c r="AM187" i="8" s="1"/>
  <c r="AK188" i="8"/>
  <c r="AM188" i="8" s="1"/>
  <c r="AK189" i="8"/>
  <c r="AK190" i="8"/>
  <c r="AM190" i="8" s="1"/>
  <c r="AK191" i="8"/>
  <c r="AM191" i="8" s="1"/>
  <c r="AK192" i="8"/>
  <c r="AM192" i="8" s="1"/>
  <c r="AK193" i="8"/>
  <c r="AK194" i="8"/>
  <c r="AM194" i="8" s="1"/>
  <c r="AK195" i="8"/>
  <c r="AM195" i="8" s="1"/>
  <c r="AK196" i="8"/>
  <c r="AM196" i="8" s="1"/>
  <c r="AK197" i="8"/>
  <c r="AK198" i="8"/>
  <c r="AM198" i="8" s="1"/>
  <c r="AK199" i="8"/>
  <c r="AM199" i="8" s="1"/>
  <c r="AK200" i="8"/>
  <c r="AM200" i="8" s="1"/>
  <c r="AK201" i="8"/>
  <c r="AK202" i="8"/>
  <c r="AM202" i="8" s="1"/>
  <c r="AK203" i="8"/>
  <c r="AM203" i="8" s="1"/>
  <c r="AK204" i="8"/>
  <c r="AM204" i="8" s="1"/>
  <c r="AK205" i="8"/>
  <c r="AK206" i="8"/>
  <c r="AM206" i="8" s="1"/>
  <c r="AK210" i="8"/>
  <c r="AM210" i="8" s="1"/>
  <c r="AK211" i="8"/>
  <c r="AM211" i="8" s="1"/>
  <c r="AK212" i="8"/>
  <c r="AK213" i="8"/>
  <c r="AM213" i="8" s="1"/>
  <c r="AK214" i="8"/>
  <c r="AM214" i="8" s="1"/>
  <c r="AK215" i="8"/>
  <c r="AM215" i="8" s="1"/>
  <c r="AK216" i="8"/>
  <c r="AK217" i="8"/>
  <c r="AM217" i="8" s="1"/>
  <c r="AK218" i="8"/>
  <c r="AM218" i="8" s="1"/>
  <c r="AK219" i="8"/>
  <c r="AM219" i="8" s="1"/>
  <c r="AK220" i="8"/>
  <c r="AK221" i="8"/>
  <c r="AM221" i="8" s="1"/>
  <c r="AK222" i="8"/>
  <c r="AM222" i="8" s="1"/>
  <c r="AK223" i="8"/>
  <c r="AM223" i="8" s="1"/>
  <c r="AK224" i="8"/>
  <c r="AK225" i="8"/>
  <c r="AM225" i="8" s="1"/>
  <c r="AK226" i="8"/>
  <c r="AM226" i="8" s="1"/>
  <c r="AK227" i="8"/>
  <c r="AM227" i="8" s="1"/>
  <c r="AK228" i="8"/>
  <c r="AK229" i="8"/>
  <c r="AM229" i="8" s="1"/>
  <c r="AK230" i="8"/>
  <c r="AM230" i="8" s="1"/>
  <c r="AK231" i="8"/>
  <c r="AM231" i="8" s="1"/>
  <c r="AK232" i="8"/>
  <c r="AK233" i="8"/>
  <c r="AM233" i="8" s="1"/>
  <c r="AK234" i="8"/>
  <c r="AM234" i="8" s="1"/>
  <c r="AK235" i="8"/>
  <c r="AM235" i="8" s="1"/>
  <c r="AK236" i="8"/>
  <c r="AK237" i="8"/>
  <c r="AM237" i="8" s="1"/>
  <c r="AK238" i="8"/>
  <c r="AM238" i="8" s="1"/>
  <c r="AK239" i="8"/>
  <c r="AM239" i="8" s="1"/>
  <c r="AK240" i="8"/>
  <c r="AK241" i="8"/>
  <c r="AM241" i="8" s="1"/>
  <c r="AK242" i="8"/>
  <c r="AM242" i="8" s="1"/>
  <c r="AK243" i="8"/>
  <c r="AM243" i="8" s="1"/>
  <c r="AK244" i="8"/>
  <c r="AK245" i="8"/>
  <c r="AM245" i="8" s="1"/>
  <c r="AK246" i="8"/>
  <c r="AM246" i="8" s="1"/>
  <c r="AK247" i="8"/>
  <c r="AM247" i="8" s="1"/>
  <c r="AK248" i="8"/>
  <c r="AK249" i="8"/>
  <c r="AM249" i="8" s="1"/>
  <c r="AK250" i="8"/>
  <c r="AM250" i="8" s="1"/>
  <c r="AK251" i="8"/>
  <c r="AM251" i="8" s="1"/>
  <c r="AK252" i="8"/>
  <c r="AK253" i="8"/>
  <c r="AM253" i="8" s="1"/>
  <c r="AK254" i="8"/>
  <c r="AM254" i="8" s="1"/>
  <c r="AK255" i="8"/>
  <c r="AM255" i="8" s="1"/>
  <c r="AK256" i="8"/>
  <c r="AK257" i="8"/>
  <c r="AM257" i="8" s="1"/>
  <c r="AK258" i="8"/>
  <c r="AM258" i="8" s="1"/>
  <c r="AK259" i="8"/>
  <c r="AM259" i="8" s="1"/>
  <c r="AK260" i="8"/>
  <c r="AK261" i="8"/>
  <c r="AM261" i="8" s="1"/>
  <c r="AK262" i="8"/>
  <c r="AM262" i="8" s="1"/>
  <c r="AK263" i="8"/>
  <c r="AM263" i="8" s="1"/>
  <c r="AK264" i="8"/>
  <c r="AK265" i="8"/>
  <c r="AM265" i="8" s="1"/>
  <c r="AK266" i="8"/>
  <c r="AM266" i="8" s="1"/>
  <c r="AK267" i="8"/>
  <c r="AM267" i="8" s="1"/>
  <c r="AK268" i="8"/>
  <c r="AK9" i="8"/>
  <c r="AI682" i="8"/>
  <c r="AI681" i="8"/>
  <c r="AI680" i="8"/>
  <c r="AI675" i="8"/>
  <c r="AI674" i="8"/>
  <c r="AI673" i="8"/>
  <c r="AI672" i="8"/>
  <c r="AI671" i="8"/>
  <c r="AL674" i="2" s="1"/>
  <c r="AI670" i="8"/>
  <c r="AI669" i="8"/>
  <c r="AI668" i="8"/>
  <c r="AI666" i="8"/>
  <c r="AI665" i="8"/>
  <c r="AI664" i="8"/>
  <c r="AI662" i="8"/>
  <c r="AI661" i="8"/>
  <c r="AI660" i="8"/>
  <c r="AI659" i="8"/>
  <c r="AI658" i="8"/>
  <c r="AI657" i="8"/>
  <c r="AI656" i="8"/>
  <c r="AI655" i="8"/>
  <c r="AI654" i="8"/>
  <c r="AI653" i="8"/>
  <c r="AI652" i="8"/>
  <c r="AI651" i="8"/>
  <c r="AI649" i="8"/>
  <c r="AI648" i="8"/>
  <c r="AI647" i="8"/>
  <c r="AI645" i="8"/>
  <c r="AI644" i="8"/>
  <c r="AI643" i="8"/>
  <c r="AI642" i="8"/>
  <c r="AI641" i="8"/>
  <c r="AI640" i="8"/>
  <c r="AI639" i="8"/>
  <c r="AL639" i="2" s="1"/>
  <c r="AI638" i="8"/>
  <c r="AI636" i="8"/>
  <c r="AI635" i="8"/>
  <c r="AI634" i="8"/>
  <c r="AI633" i="8"/>
  <c r="AI632" i="8"/>
  <c r="AI630" i="8"/>
  <c r="AI629" i="8"/>
  <c r="AI628" i="8"/>
  <c r="AI627" i="8"/>
  <c r="AI626" i="8"/>
  <c r="AI625" i="8"/>
  <c r="AI624" i="8"/>
  <c r="AI623" i="8"/>
  <c r="AI622" i="8"/>
  <c r="AI621" i="8"/>
  <c r="AI620" i="8"/>
  <c r="AI619" i="8"/>
  <c r="AI618" i="8"/>
  <c r="AI617" i="8"/>
  <c r="AI616" i="8"/>
  <c r="AI615" i="8"/>
  <c r="AL615" i="2" s="1"/>
  <c r="AI613" i="8"/>
  <c r="AI612" i="8"/>
  <c r="AI608" i="8"/>
  <c r="AI607" i="8"/>
  <c r="AI606" i="8"/>
  <c r="AI605" i="8"/>
  <c r="AI604" i="8"/>
  <c r="AI603" i="8"/>
  <c r="AI602" i="8"/>
  <c r="AI601" i="8"/>
  <c r="AI600" i="8"/>
  <c r="AI599" i="8"/>
  <c r="AI598" i="8"/>
  <c r="AI597" i="8"/>
  <c r="AI596" i="8"/>
  <c r="AI595" i="8"/>
  <c r="AI593" i="8"/>
  <c r="AI592" i="8"/>
  <c r="AI591" i="8"/>
  <c r="AI590" i="8"/>
  <c r="AI589" i="8"/>
  <c r="AI588" i="8"/>
  <c r="AI587" i="8"/>
  <c r="AI586" i="8"/>
  <c r="AI585" i="8"/>
  <c r="AI584" i="8"/>
  <c r="AI583" i="8"/>
  <c r="AI582" i="8"/>
  <c r="AI581" i="8"/>
  <c r="AI580" i="8"/>
  <c r="AI579" i="8"/>
  <c r="AI577" i="8"/>
  <c r="AI576" i="8"/>
  <c r="AI575" i="8"/>
  <c r="AI574" i="8"/>
  <c r="AI573" i="8"/>
  <c r="AI572" i="8"/>
  <c r="AI571" i="8"/>
  <c r="AI570" i="8"/>
  <c r="AI569" i="8"/>
  <c r="AI568" i="8"/>
  <c r="AI567" i="8"/>
  <c r="AI566" i="8"/>
  <c r="AI565" i="8"/>
  <c r="AI564" i="8"/>
  <c r="AI563" i="8"/>
  <c r="AI562" i="8"/>
  <c r="AI560" i="8"/>
  <c r="AI559" i="8"/>
  <c r="AI558" i="8"/>
  <c r="AI557" i="8"/>
  <c r="AI556" i="8"/>
  <c r="AI555" i="8"/>
  <c r="AI553" i="8"/>
  <c r="AI552" i="8"/>
  <c r="AI551" i="8"/>
  <c r="AI550" i="8"/>
  <c r="AI549" i="8"/>
  <c r="AI548" i="8"/>
  <c r="AI546" i="8"/>
  <c r="AI545" i="8"/>
  <c r="AI541" i="8"/>
  <c r="AI540" i="8"/>
  <c r="AI539" i="8"/>
  <c r="AI538" i="8"/>
  <c r="AI537" i="8"/>
  <c r="AI536" i="8"/>
  <c r="AI535" i="8"/>
  <c r="AI534" i="8"/>
  <c r="AI533" i="8"/>
  <c r="AI532" i="8"/>
  <c r="AI531" i="8"/>
  <c r="AI530" i="8"/>
  <c r="AI529" i="8"/>
  <c r="AI528" i="8"/>
  <c r="AI527" i="8"/>
  <c r="AI526" i="8"/>
  <c r="AI525" i="8"/>
  <c r="AI524" i="8"/>
  <c r="AI523" i="8"/>
  <c r="AI522" i="8"/>
  <c r="AI521" i="8"/>
  <c r="AI520" i="8"/>
  <c r="AI519" i="8"/>
  <c r="AI518" i="8"/>
  <c r="AI517" i="8"/>
  <c r="AI516" i="8"/>
  <c r="AI515" i="8"/>
  <c r="AI514" i="8"/>
  <c r="AI512" i="8"/>
  <c r="AI511" i="8"/>
  <c r="AI510" i="8"/>
  <c r="AI509" i="8"/>
  <c r="AI508" i="8"/>
  <c r="AI507" i="8"/>
  <c r="AI506" i="8"/>
  <c r="AI505" i="8"/>
  <c r="AI504" i="8"/>
  <c r="AI503" i="8"/>
  <c r="AI502" i="8"/>
  <c r="AI501" i="8"/>
  <c r="AI500" i="8"/>
  <c r="AI499" i="8"/>
  <c r="AI498" i="8"/>
  <c r="AI497" i="8"/>
  <c r="AI496" i="8"/>
  <c r="AI495" i="8"/>
  <c r="AI494" i="8"/>
  <c r="AI493" i="8"/>
  <c r="AI492" i="8"/>
  <c r="AI491" i="8"/>
  <c r="AI490" i="8"/>
  <c r="AI489" i="8"/>
  <c r="AI488" i="8"/>
  <c r="AI487" i="8"/>
  <c r="AI486" i="8"/>
  <c r="AI485" i="8"/>
  <c r="AI484" i="8"/>
  <c r="AI483" i="8"/>
  <c r="AI482" i="8"/>
  <c r="AI481" i="8"/>
  <c r="AI480" i="8"/>
  <c r="AI479" i="8"/>
  <c r="AI478" i="8"/>
  <c r="AI474" i="8"/>
  <c r="AI472" i="8"/>
  <c r="AI471" i="8"/>
  <c r="AI469" i="8"/>
  <c r="AI468" i="8"/>
  <c r="AI467" i="8"/>
  <c r="AI466" i="8"/>
  <c r="AI465" i="8"/>
  <c r="AI462" i="8"/>
  <c r="AI461" i="8"/>
  <c r="AI460" i="8"/>
  <c r="AI459" i="8"/>
  <c r="AI458" i="8"/>
  <c r="AI457" i="8"/>
  <c r="AI456" i="8"/>
  <c r="AI455" i="8"/>
  <c r="AI453" i="8"/>
  <c r="AI451" i="8"/>
  <c r="AI450" i="8"/>
  <c r="AI448" i="8"/>
  <c r="AI447" i="8"/>
  <c r="AI446" i="8"/>
  <c r="AI445" i="8"/>
  <c r="AI444" i="8"/>
  <c r="AI443" i="8"/>
  <c r="AI442" i="8"/>
  <c r="AI441" i="8"/>
  <c r="AI440" i="8"/>
  <c r="AI439" i="8"/>
  <c r="AI438" i="8"/>
  <c r="AI436" i="8"/>
  <c r="AI435" i="8"/>
  <c r="AI434" i="8"/>
  <c r="AI433" i="8"/>
  <c r="AI432" i="8"/>
  <c r="AI431" i="8"/>
  <c r="AI430" i="8"/>
  <c r="AI429" i="8"/>
  <c r="AI428" i="8"/>
  <c r="AI427" i="8"/>
  <c r="AI426" i="8"/>
  <c r="AI425" i="8"/>
  <c r="AI424" i="8"/>
  <c r="AI423" i="8"/>
  <c r="AI422" i="8"/>
  <c r="AI421" i="8"/>
  <c r="AI420" i="8"/>
  <c r="AI419" i="8"/>
  <c r="AI418" i="8"/>
  <c r="AI417" i="8"/>
  <c r="AI416" i="8"/>
  <c r="AI415" i="8"/>
  <c r="AI414" i="8"/>
  <c r="AI413" i="8"/>
  <c r="AI412" i="8"/>
  <c r="AI411" i="8"/>
  <c r="AI407" i="8"/>
  <c r="AI406" i="8"/>
  <c r="AI405" i="8"/>
  <c r="AI404" i="8"/>
  <c r="AI403" i="8"/>
  <c r="AI402" i="8"/>
  <c r="AI401" i="8"/>
  <c r="AI400" i="8"/>
  <c r="AI399" i="8"/>
  <c r="AI398" i="8"/>
  <c r="AI397" i="8"/>
  <c r="AI396" i="8"/>
  <c r="AI395" i="8"/>
  <c r="AI394" i="8"/>
  <c r="AI393" i="8"/>
  <c r="AI392" i="8"/>
  <c r="AI391" i="8"/>
  <c r="AI389" i="8"/>
  <c r="AI388" i="8"/>
  <c r="AI387" i="8"/>
  <c r="AI386" i="8"/>
  <c r="AI384" i="8"/>
  <c r="AI383" i="8"/>
  <c r="AI382" i="8"/>
  <c r="AI381" i="8"/>
  <c r="AI380" i="8"/>
  <c r="AI379" i="8"/>
  <c r="AI378" i="8"/>
  <c r="AI377" i="8"/>
  <c r="AI376" i="8"/>
  <c r="AI375" i="8"/>
  <c r="AI374" i="8"/>
  <c r="AI373" i="8"/>
  <c r="AI372" i="8"/>
  <c r="AI371" i="8"/>
  <c r="AI369" i="8"/>
  <c r="AI368" i="8"/>
  <c r="AI367" i="8"/>
  <c r="AI366" i="8"/>
  <c r="AI365" i="8"/>
  <c r="AI364" i="8"/>
  <c r="AI362" i="8"/>
  <c r="AI361" i="8"/>
  <c r="AI360" i="8"/>
  <c r="AI359" i="8"/>
  <c r="AI358" i="8"/>
  <c r="AI356" i="8"/>
  <c r="AI355" i="8"/>
  <c r="AI354" i="8"/>
  <c r="AI352" i="8"/>
  <c r="AI351" i="8"/>
  <c r="AI350" i="8"/>
  <c r="AI349" i="8"/>
  <c r="AI348" i="8"/>
  <c r="AI347" i="8"/>
  <c r="AI346" i="8"/>
  <c r="AI345" i="8"/>
  <c r="AI344" i="8"/>
  <c r="AI339" i="8"/>
  <c r="AI338" i="8"/>
  <c r="AI337" i="8"/>
  <c r="AI336" i="8"/>
  <c r="AI335" i="8"/>
  <c r="AI334" i="8"/>
  <c r="AI333" i="8"/>
  <c r="AI332" i="8"/>
  <c r="AI331" i="8"/>
  <c r="AI330" i="8"/>
  <c r="AI329" i="8"/>
  <c r="AI326" i="8"/>
  <c r="AI324" i="8"/>
  <c r="AI323" i="8"/>
  <c r="AI322" i="8"/>
  <c r="AI321" i="8"/>
  <c r="AI320" i="8"/>
  <c r="AI319" i="8"/>
  <c r="AI318" i="8"/>
  <c r="AI317" i="8"/>
  <c r="AI316" i="8"/>
  <c r="AI315" i="8"/>
  <c r="AI314" i="8"/>
  <c r="AI313" i="8"/>
  <c r="AI312" i="8"/>
  <c r="AI311" i="8"/>
  <c r="AI310" i="8"/>
  <c r="AI309" i="8"/>
  <c r="AI308" i="8"/>
  <c r="AI307" i="8"/>
  <c r="AI306" i="8"/>
  <c r="AI305" i="8"/>
  <c r="AI304" i="8"/>
  <c r="AI303" i="8"/>
  <c r="AI302" i="8"/>
  <c r="AI301" i="8"/>
  <c r="AI300" i="8"/>
  <c r="AI299" i="8"/>
  <c r="AI298" i="8"/>
  <c r="AI297" i="8"/>
  <c r="AI296" i="8"/>
  <c r="AI295" i="8"/>
  <c r="AI294" i="8"/>
  <c r="AI293" i="8"/>
  <c r="AI292" i="8"/>
  <c r="AI291" i="8"/>
  <c r="AI289" i="8"/>
  <c r="AI288" i="8"/>
  <c r="AI287" i="8"/>
  <c r="AI286" i="8"/>
  <c r="AI284" i="8"/>
  <c r="AI283" i="8"/>
  <c r="AI282" i="8"/>
  <c r="AI281" i="8"/>
  <c r="AI280" i="8"/>
  <c r="AI279" i="8"/>
  <c r="AI278" i="8"/>
  <c r="AI277" i="8"/>
  <c r="AI273" i="8"/>
  <c r="AI272" i="8"/>
  <c r="AI271" i="8"/>
  <c r="AI269" i="8"/>
  <c r="AI268" i="8"/>
  <c r="AI267" i="8"/>
  <c r="AI266" i="8"/>
  <c r="AI265" i="8"/>
  <c r="AI264" i="8"/>
  <c r="AI263" i="8"/>
  <c r="AI262" i="8"/>
  <c r="AI260" i="8"/>
  <c r="AI259" i="8"/>
  <c r="AI258" i="8"/>
  <c r="AI257" i="8"/>
  <c r="AI256" i="8"/>
  <c r="AI255" i="8"/>
  <c r="AI254" i="8"/>
  <c r="AI253" i="8"/>
  <c r="AI252" i="8"/>
  <c r="AI251" i="8"/>
  <c r="AI250" i="8"/>
  <c r="AI249" i="8"/>
  <c r="AI248" i="8"/>
  <c r="AI247" i="8"/>
  <c r="AI246" i="8"/>
  <c r="AI245" i="8"/>
  <c r="AI244" i="8"/>
  <c r="AI243" i="8"/>
  <c r="AI242" i="8"/>
  <c r="AI241" i="8"/>
  <c r="AI240" i="8"/>
  <c r="AI239" i="8"/>
  <c r="AI238" i="8"/>
  <c r="AI237" i="8"/>
  <c r="AI236" i="8"/>
  <c r="AI235" i="8"/>
  <c r="AI233" i="8"/>
  <c r="AI231" i="8"/>
  <c r="AI230" i="8"/>
  <c r="AI229" i="8"/>
  <c r="AI228" i="8"/>
  <c r="AI226" i="8"/>
  <c r="AI225" i="8"/>
  <c r="AI224" i="8"/>
  <c r="AI223" i="8"/>
  <c r="AI222" i="8"/>
  <c r="AI221" i="8"/>
  <c r="AI220" i="8"/>
  <c r="AI219" i="8"/>
  <c r="AI218" i="8"/>
  <c r="AI217" i="8"/>
  <c r="AI216" i="8"/>
  <c r="AI214" i="8"/>
  <c r="AI213" i="8"/>
  <c r="AI211" i="8"/>
  <c r="AI206" i="8"/>
  <c r="AI205" i="8"/>
  <c r="AI204" i="8"/>
  <c r="AI203" i="8"/>
  <c r="AI202" i="8"/>
  <c r="AI201" i="8"/>
  <c r="AI200" i="8"/>
  <c r="AI199" i="8"/>
  <c r="AI198" i="8"/>
  <c r="AI197" i="8"/>
  <c r="AI196" i="8"/>
  <c r="AI195" i="8"/>
  <c r="AI194" i="8"/>
  <c r="AI193" i="8"/>
  <c r="AI192" i="8"/>
  <c r="AI191" i="8"/>
  <c r="AI190" i="8"/>
  <c r="AI189" i="8"/>
  <c r="AI188" i="8"/>
  <c r="AI187" i="8"/>
  <c r="AI185" i="8"/>
  <c r="AI184" i="8"/>
  <c r="AI183" i="8"/>
  <c r="AI182" i="8"/>
  <c r="AI181" i="8"/>
  <c r="AI180" i="8"/>
  <c r="AI179" i="8"/>
  <c r="AI178" i="8"/>
  <c r="AI176" i="8"/>
  <c r="AI175" i="8"/>
  <c r="AI174" i="8"/>
  <c r="AI173" i="8"/>
  <c r="AI172" i="8"/>
  <c r="AI171" i="8"/>
  <c r="AI170" i="8"/>
  <c r="AI169" i="8"/>
  <c r="AI168" i="8"/>
  <c r="AI167" i="8"/>
  <c r="AI166" i="8"/>
  <c r="AI165" i="8"/>
  <c r="AI164" i="8"/>
  <c r="AI163" i="8"/>
  <c r="AI162" i="8"/>
  <c r="AI161" i="8"/>
  <c r="AI159" i="8"/>
  <c r="AI158" i="8"/>
  <c r="AI157" i="8"/>
  <c r="AI154" i="8"/>
  <c r="AI152" i="8"/>
  <c r="AI150" i="8"/>
  <c r="AI149" i="8"/>
  <c r="AI148" i="8"/>
  <c r="AI147" i="8"/>
  <c r="AI146" i="8"/>
  <c r="AI145" i="8"/>
  <c r="AI144" i="8"/>
  <c r="AI143" i="8"/>
  <c r="AI139" i="8"/>
  <c r="AI138" i="8"/>
  <c r="AI137" i="8"/>
  <c r="AI136" i="8"/>
  <c r="AI134" i="8"/>
  <c r="AI133" i="8"/>
  <c r="AI132" i="8"/>
  <c r="AI130" i="8"/>
  <c r="AI129" i="8"/>
  <c r="AI127" i="8"/>
  <c r="AI126" i="8"/>
  <c r="AI125" i="8"/>
  <c r="AI124" i="8"/>
  <c r="AI123" i="8"/>
  <c r="AI122" i="8"/>
  <c r="AI120" i="8"/>
  <c r="AI119" i="8"/>
  <c r="AI118" i="8"/>
  <c r="AI117" i="8"/>
  <c r="AI116" i="8"/>
  <c r="AI115" i="8"/>
  <c r="AI114" i="8"/>
  <c r="AI113" i="8"/>
  <c r="AI112" i="8"/>
  <c r="AI111" i="8"/>
  <c r="AI108" i="8"/>
  <c r="AI107" i="8"/>
  <c r="AI106" i="8"/>
  <c r="AI105" i="8"/>
  <c r="AI104" i="8"/>
  <c r="AI103" i="8"/>
  <c r="AI102" i="8"/>
  <c r="AI101" i="8"/>
  <c r="AI100" i="8"/>
  <c r="AI99" i="8"/>
  <c r="AI98" i="8"/>
  <c r="AI97" i="8"/>
  <c r="AI96" i="8"/>
  <c r="AI95" i="8"/>
  <c r="AI94" i="8"/>
  <c r="AI93" i="8"/>
  <c r="AI92" i="8"/>
  <c r="AI91" i="8"/>
  <c r="AI89" i="8"/>
  <c r="AI88" i="8"/>
  <c r="AI87" i="8"/>
  <c r="AI86" i="8"/>
  <c r="AI85" i="8"/>
  <c r="AI83" i="8"/>
  <c r="AI81" i="8"/>
  <c r="AI80" i="8"/>
  <c r="AI79" i="8"/>
  <c r="AI77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I59" i="8"/>
  <c r="AI58" i="8"/>
  <c r="AI57" i="8"/>
  <c r="AI56" i="8"/>
  <c r="AI55" i="8"/>
  <c r="AI54" i="8"/>
  <c r="AI53" i="8"/>
  <c r="AI51" i="8"/>
  <c r="AI50" i="8"/>
  <c r="AI49" i="8"/>
  <c r="AI48" i="8"/>
  <c r="AI47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1" i="8"/>
  <c r="AI20" i="8"/>
  <c r="AI19" i="8"/>
  <c r="AI18" i="8"/>
  <c r="AI17" i="8"/>
  <c r="AI16" i="8"/>
  <c r="AI15" i="8"/>
  <c r="AI14" i="8"/>
  <c r="AI13" i="8"/>
  <c r="AI12" i="8"/>
  <c r="AI9" i="8"/>
  <c r="AO269" i="2" l="1"/>
  <c r="AO204" i="2"/>
  <c r="AO74" i="2"/>
  <c r="AO425" i="2"/>
  <c r="AL34" i="2"/>
  <c r="AL681" i="2"/>
  <c r="AL680" i="2"/>
  <c r="AL660" i="2"/>
  <c r="AL677" i="2"/>
  <c r="AL678" i="2"/>
  <c r="AL671" i="2"/>
  <c r="AL661" i="2"/>
  <c r="AL659" i="2"/>
  <c r="AL622" i="2"/>
  <c r="AL616" i="2"/>
  <c r="AL643" i="2"/>
  <c r="AL636" i="2"/>
  <c r="AL634" i="2"/>
  <c r="AL633" i="2"/>
  <c r="AL624" i="2"/>
  <c r="AL621" i="2"/>
  <c r="AL610" i="2"/>
  <c r="AL608" i="2"/>
  <c r="AL605" i="2"/>
  <c r="AL207" i="2"/>
  <c r="AL199" i="2"/>
  <c r="AL179" i="2"/>
  <c r="AL162" i="2"/>
  <c r="AL205" i="2"/>
  <c r="AL196" i="2"/>
  <c r="AL191" i="2"/>
  <c r="AL187" i="2"/>
  <c r="AL164" i="2"/>
  <c r="AL167" i="2"/>
  <c r="AL150" i="2"/>
  <c r="AL142" i="2"/>
  <c r="AL120" i="2"/>
  <c r="AL87" i="2"/>
  <c r="AL112" i="2"/>
  <c r="AL117" i="2"/>
  <c r="AL102" i="2"/>
  <c r="AL100" i="2"/>
  <c r="AL99" i="2"/>
  <c r="AL98" i="2"/>
  <c r="AL93" i="2"/>
  <c r="AL79" i="2"/>
  <c r="AL59" i="2"/>
  <c r="AL68" i="2"/>
  <c r="AL75" i="2"/>
  <c r="AL69" i="2"/>
  <c r="AL42" i="2"/>
  <c r="AL32" i="2"/>
  <c r="AL39" i="2"/>
  <c r="AL27" i="2"/>
  <c r="AL25" i="2"/>
  <c r="AL14" i="2"/>
  <c r="AL48" i="2"/>
  <c r="AL43" i="2"/>
  <c r="AL41" i="2"/>
  <c r="AL37" i="2"/>
  <c r="AL31" i="2"/>
  <c r="AL28" i="2"/>
  <c r="AL26" i="2"/>
  <c r="AO561" i="2"/>
  <c r="AO557" i="2"/>
  <c r="AO553" i="2"/>
  <c r="AO549" i="2"/>
  <c r="AO545" i="2"/>
  <c r="AO541" i="2"/>
  <c r="AO510" i="2"/>
  <c r="AO502" i="2"/>
  <c r="AO486" i="2"/>
  <c r="AO478" i="2"/>
  <c r="AO470" i="2"/>
  <c r="AO451" i="2"/>
  <c r="AO443" i="2"/>
  <c r="AO435" i="2"/>
  <c r="AO419" i="2"/>
  <c r="AO411" i="2"/>
  <c r="AO403" i="2"/>
  <c r="AO399" i="2"/>
  <c r="AO392" i="2"/>
  <c r="AO388" i="2"/>
  <c r="AO682" i="2"/>
  <c r="AO678" i="2"/>
  <c r="AO674" i="2"/>
  <c r="AO666" i="2"/>
  <c r="AO655" i="2"/>
  <c r="AO647" i="2"/>
  <c r="AO643" i="2"/>
  <c r="AO639" i="2"/>
  <c r="AO631" i="2"/>
  <c r="AO627" i="2"/>
  <c r="AO662" i="2"/>
  <c r="AL612" i="2"/>
  <c r="AL545" i="2"/>
  <c r="AL143" i="2"/>
  <c r="AO560" i="2"/>
  <c r="AO556" i="2"/>
  <c r="AO552" i="2"/>
  <c r="AO548" i="2"/>
  <c r="AO544" i="2"/>
  <c r="AO540" i="2"/>
  <c r="AO536" i="2"/>
  <c r="AO681" i="2"/>
  <c r="AO677" i="2"/>
  <c r="AO673" i="2"/>
  <c r="AO669" i="2"/>
  <c r="AO665" i="2"/>
  <c r="AO654" i="2"/>
  <c r="AO646" i="2"/>
  <c r="AO642" i="2"/>
  <c r="AO634" i="2"/>
  <c r="AO630" i="2"/>
  <c r="AO622" i="2"/>
  <c r="AO618" i="2"/>
  <c r="AO614" i="2"/>
  <c r="AO610" i="2"/>
  <c r="AO606" i="2"/>
  <c r="AO602" i="2"/>
  <c r="AO598" i="2"/>
  <c r="AO594" i="2"/>
  <c r="AO587" i="2"/>
  <c r="AO583" i="2"/>
  <c r="AO579" i="2"/>
  <c r="AO575" i="2"/>
  <c r="AO571" i="2"/>
  <c r="AO563" i="2"/>
  <c r="AO543" i="2"/>
  <c r="AO520" i="2"/>
  <c r="AM604" i="8"/>
  <c r="AM600" i="8"/>
  <c r="AM551" i="8"/>
  <c r="AM516" i="8"/>
  <c r="AM445" i="8"/>
  <c r="AM547" i="8"/>
  <c r="AM512" i="8"/>
  <c r="AM484" i="8"/>
  <c r="AM480" i="8"/>
  <c r="AM449" i="8"/>
  <c r="AM417" i="8"/>
  <c r="AM309" i="8"/>
  <c r="AM277" i="8"/>
  <c r="AM537" i="8"/>
  <c r="AM533" i="8"/>
  <c r="AM470" i="8"/>
  <c r="AM466" i="8"/>
  <c r="AM399" i="8"/>
  <c r="AM332" i="8"/>
  <c r="AQ83" i="6"/>
  <c r="AY83" i="6" s="1"/>
  <c r="AW83" i="6"/>
  <c r="AW122" i="6"/>
  <c r="AW59" i="6"/>
  <c r="AW51" i="6"/>
  <c r="AW75" i="6"/>
  <c r="AW58" i="6"/>
  <c r="AQ63" i="6"/>
  <c r="AY63" i="6" s="1"/>
  <c r="AW63" i="6"/>
  <c r="AQ47" i="6"/>
  <c r="AY47" i="6" s="1"/>
  <c r="AW47" i="6"/>
  <c r="AW111" i="6"/>
  <c r="AW80" i="6"/>
  <c r="AW60" i="6"/>
  <c r="AW133" i="6"/>
  <c r="AW97" i="6"/>
  <c r="AW70" i="6"/>
  <c r="AW62" i="6"/>
  <c r="AW143" i="6"/>
  <c r="AW112" i="6"/>
  <c r="AQ110" i="6"/>
  <c r="AY110" i="6" s="1"/>
  <c r="AW110" i="6"/>
  <c r="AW113" i="6"/>
  <c r="AW136" i="6"/>
  <c r="AW91" i="6"/>
  <c r="AW99" i="6"/>
  <c r="AW54" i="6"/>
  <c r="AW120" i="6"/>
  <c r="AW85" i="6"/>
  <c r="AO385" i="2"/>
  <c r="AO381" i="2"/>
  <c r="AO377" i="2"/>
  <c r="AO373" i="2"/>
  <c r="AO369" i="2"/>
  <c r="AO365" i="2"/>
  <c r="AO361" i="2"/>
  <c r="AO357" i="2"/>
  <c r="AO353" i="2"/>
  <c r="AO349" i="2"/>
  <c r="AO345" i="2"/>
  <c r="AO341" i="2"/>
  <c r="AO337" i="2"/>
  <c r="AO330" i="2"/>
  <c r="AO326" i="2"/>
  <c r="AO667" i="2"/>
  <c r="AO648" i="2"/>
  <c r="AO632" i="2"/>
  <c r="AO616" i="2"/>
  <c r="AO589" i="2"/>
  <c r="AO581" i="2"/>
  <c r="AO322" i="2"/>
  <c r="AO318" i="2"/>
  <c r="AO314" i="2"/>
  <c r="AO310" i="2"/>
  <c r="AO306" i="2"/>
  <c r="AO302" i="2"/>
  <c r="AO298" i="2"/>
  <c r="AO294" i="2"/>
  <c r="AO290" i="2"/>
  <c r="AO286" i="2"/>
  <c r="AO282" i="2"/>
  <c r="AO278" i="2"/>
  <c r="AO274" i="2"/>
  <c r="AO270" i="2"/>
  <c r="AO263" i="2"/>
  <c r="AO259" i="2"/>
  <c r="AO255" i="2"/>
  <c r="AO251" i="2"/>
  <c r="AO247" i="2"/>
  <c r="AO243" i="2"/>
  <c r="AO239" i="2"/>
  <c r="AO235" i="2"/>
  <c r="AO231" i="2"/>
  <c r="AO227" i="2"/>
  <c r="AO223" i="2"/>
  <c r="AO219" i="2"/>
  <c r="AO215" i="2"/>
  <c r="AO211" i="2"/>
  <c r="AO207" i="2"/>
  <c r="AO200" i="2"/>
  <c r="AO196" i="2"/>
  <c r="AO192" i="2"/>
  <c r="AO188" i="2"/>
  <c r="AO184" i="2"/>
  <c r="AO180" i="2"/>
  <c r="AO176" i="2"/>
  <c r="AO172" i="2"/>
  <c r="AO168" i="2"/>
  <c r="AO164" i="2"/>
  <c r="AO160" i="2"/>
  <c r="AO156" i="2"/>
  <c r="AO152" i="2"/>
  <c r="AO148" i="2"/>
  <c r="AO144" i="2"/>
  <c r="AO140" i="2"/>
  <c r="AO133" i="2"/>
  <c r="AO129" i="2"/>
  <c r="AO125" i="2"/>
  <c r="AO121" i="2"/>
  <c r="AO555" i="2"/>
  <c r="AO547" i="2"/>
  <c r="AO539" i="2"/>
  <c r="AO535" i="2"/>
  <c r="AO531" i="2"/>
  <c r="AO516" i="2"/>
  <c r="AO512" i="2"/>
  <c r="AO508" i="2"/>
  <c r="AO504" i="2"/>
  <c r="AO500" i="2"/>
  <c r="AO496" i="2"/>
  <c r="AO484" i="2"/>
  <c r="AO480" i="2"/>
  <c r="AO476" i="2"/>
  <c r="AO472" i="2"/>
  <c r="AO468" i="2"/>
  <c r="AO464" i="2"/>
  <c r="AO449" i="2"/>
  <c r="AO445" i="2"/>
  <c r="AO441" i="2"/>
  <c r="AO437" i="2"/>
  <c r="AO433" i="2"/>
  <c r="AO401" i="2"/>
  <c r="AO394" i="2"/>
  <c r="AO390" i="2"/>
  <c r="AO675" i="2"/>
  <c r="AO671" i="2"/>
  <c r="AO659" i="2"/>
  <c r="AO652" i="2"/>
  <c r="AO640" i="2"/>
  <c r="AO636" i="2"/>
  <c r="AO624" i="2"/>
  <c r="AO620" i="2"/>
  <c r="AO612" i="2"/>
  <c r="AO604" i="2"/>
  <c r="AO596" i="2"/>
  <c r="AO585" i="2"/>
  <c r="AO577" i="2"/>
  <c r="AO569" i="2"/>
  <c r="AO533" i="2"/>
  <c r="AO529" i="2"/>
  <c r="AO498" i="2"/>
  <c r="AO494" i="2"/>
  <c r="AO466" i="2"/>
  <c r="AO459" i="2"/>
  <c r="AO117" i="2"/>
  <c r="AO113" i="2"/>
  <c r="AO109" i="2"/>
  <c r="AO105" i="2"/>
  <c r="AO101" i="2"/>
  <c r="AO97" i="2"/>
  <c r="AO93" i="2"/>
  <c r="AO89" i="2"/>
  <c r="AO85" i="2"/>
  <c r="AO81" i="2"/>
  <c r="AO77" i="2"/>
  <c r="AO70" i="2"/>
  <c r="AO66" i="2"/>
  <c r="AO62" i="2"/>
  <c r="AO58" i="2"/>
  <c r="AO54" i="2"/>
  <c r="AO50" i="2"/>
  <c r="AO46" i="2"/>
  <c r="AO42" i="2"/>
  <c r="AO38" i="2"/>
  <c r="AO34" i="2"/>
  <c r="AO30" i="2"/>
  <c r="AO26" i="2"/>
  <c r="AO22" i="2"/>
  <c r="AO18" i="2"/>
  <c r="AO14" i="2"/>
  <c r="AO10" i="2"/>
  <c r="AO64" i="2"/>
  <c r="AO48" i="2"/>
  <c r="AO32" i="2"/>
  <c r="AO16" i="2"/>
  <c r="AO670" i="2"/>
  <c r="AO651" i="2"/>
  <c r="AO635" i="2"/>
  <c r="AO619" i="2"/>
  <c r="AO402" i="2"/>
  <c r="AO395" i="2"/>
  <c r="AO391" i="2"/>
  <c r="AO387" i="2"/>
  <c r="AO431" i="2"/>
  <c r="AO427" i="2"/>
  <c r="AO429" i="2"/>
  <c r="AO417" i="2"/>
  <c r="AO413" i="2"/>
  <c r="AO409" i="2"/>
  <c r="AO405" i="2"/>
  <c r="AO436" i="2"/>
  <c r="AO432" i="2"/>
  <c r="AO428" i="2"/>
  <c r="AO408" i="2"/>
  <c r="AO404" i="2"/>
  <c r="AO69" i="2"/>
  <c r="AO65" i="2"/>
  <c r="AO61" i="2"/>
  <c r="AO57" i="2"/>
  <c r="AO53" i="2"/>
  <c r="AO49" i="2"/>
  <c r="AO45" i="2"/>
  <c r="AO41" i="2"/>
  <c r="AO37" i="2"/>
  <c r="AO33" i="2"/>
  <c r="AO29" i="2"/>
  <c r="AO25" i="2"/>
  <c r="AO21" i="2"/>
  <c r="AO17" i="2"/>
  <c r="AO13" i="2"/>
  <c r="AO68" i="2"/>
  <c r="AO60" i="2"/>
  <c r="AO52" i="2"/>
  <c r="AO44" i="2"/>
  <c r="AO36" i="2"/>
  <c r="AO28" i="2"/>
  <c r="AO20" i="2"/>
  <c r="AO12" i="2"/>
  <c r="AM633" i="8"/>
  <c r="AM681" i="8"/>
  <c r="AM674" i="8"/>
  <c r="AM670" i="8"/>
  <c r="AM666" i="8"/>
  <c r="AM662" i="8"/>
  <c r="AM658" i="8"/>
  <c r="AM650" i="8"/>
  <c r="AM646" i="8"/>
  <c r="AM599" i="8"/>
  <c r="AM595" i="8"/>
  <c r="AM567" i="8"/>
  <c r="AM563" i="8"/>
  <c r="AM532" i="8"/>
  <c r="AM528" i="8"/>
  <c r="AM500" i="8"/>
  <c r="AM496" i="8"/>
  <c r="AM465" i="8"/>
  <c r="AM461" i="8"/>
  <c r="AM433" i="8"/>
  <c r="AM429" i="8"/>
  <c r="AM572" i="8"/>
  <c r="AM568" i="8"/>
  <c r="AM505" i="8"/>
  <c r="AM501" i="8"/>
  <c r="AM438" i="8"/>
  <c r="AM434" i="8"/>
  <c r="AM383" i="8"/>
  <c r="AM351" i="8"/>
  <c r="AM316" i="8"/>
  <c r="AM284" i="8"/>
  <c r="AM268" i="8"/>
  <c r="AM264" i="8"/>
  <c r="AM260" i="8"/>
  <c r="AM256" i="8"/>
  <c r="AM252" i="8"/>
  <c r="AM248" i="8"/>
  <c r="AM244" i="8"/>
  <c r="AM240" i="8"/>
  <c r="AM236" i="8"/>
  <c r="AM232" i="8"/>
  <c r="AM228" i="8"/>
  <c r="AM224" i="8"/>
  <c r="AM220" i="8"/>
  <c r="AM216" i="8"/>
  <c r="AM212" i="8"/>
  <c r="AM205" i="8"/>
  <c r="AM201" i="8"/>
  <c r="AM197" i="8"/>
  <c r="AM193" i="8"/>
  <c r="AM189" i="8"/>
  <c r="AM185" i="8"/>
  <c r="AM181" i="8"/>
  <c r="AM177" i="8"/>
  <c r="AM173" i="8"/>
  <c r="AM169" i="8"/>
  <c r="AM165" i="8"/>
  <c r="AM161" i="8"/>
  <c r="AM157" i="8"/>
  <c r="AM153" i="8"/>
  <c r="AM149" i="8"/>
  <c r="AM145" i="8"/>
  <c r="AM138" i="8"/>
  <c r="AM134" i="8"/>
  <c r="AM130" i="8"/>
  <c r="AM126" i="8"/>
  <c r="AM122" i="8"/>
  <c r="AM118" i="8"/>
  <c r="AM114" i="8"/>
  <c r="AM110" i="8"/>
  <c r="AM106" i="8"/>
  <c r="AM102" i="8"/>
  <c r="AM98" i="8"/>
  <c r="AM94" i="8"/>
  <c r="AM90" i="8"/>
  <c r="AM86" i="8"/>
  <c r="AM82" i="8"/>
  <c r="AM78" i="8"/>
  <c r="AM71" i="8"/>
  <c r="AM67" i="8"/>
  <c r="AM63" i="8"/>
  <c r="AM59" i="8"/>
  <c r="AM55" i="8"/>
  <c r="AM51" i="8"/>
  <c r="AM47" i="8"/>
  <c r="AM43" i="8"/>
  <c r="AM39" i="8"/>
  <c r="AM35" i="8"/>
  <c r="AM31" i="8"/>
  <c r="AM27" i="8"/>
  <c r="AM23" i="8"/>
  <c r="AM19" i="8"/>
  <c r="AM15" i="8"/>
  <c r="AM11" i="8"/>
  <c r="AM672" i="8"/>
  <c r="AM668" i="8"/>
  <c r="AM656" i="8"/>
  <c r="AM652" i="8"/>
  <c r="AM640" i="8"/>
  <c r="AM632" i="8"/>
  <c r="AM620" i="8"/>
  <c r="AM616" i="8"/>
  <c r="AM612" i="8"/>
  <c r="AM605" i="8"/>
  <c r="AM601" i="8"/>
  <c r="AM597" i="8"/>
  <c r="AM585" i="8"/>
  <c r="AM581" i="8"/>
  <c r="AM577" i="8"/>
  <c r="AM573" i="8"/>
  <c r="AM569" i="8"/>
  <c r="AM565" i="8"/>
  <c r="AM553" i="8"/>
  <c r="AM549" i="8"/>
  <c r="AM545" i="8"/>
  <c r="AM538" i="8"/>
  <c r="AM534" i="8"/>
  <c r="AM530" i="8"/>
  <c r="AM518" i="8"/>
  <c r="AM514" i="8"/>
  <c r="AM510" i="8"/>
  <c r="AM506" i="8"/>
  <c r="AM502" i="8"/>
  <c r="AM498" i="8"/>
  <c r="AM486" i="8"/>
  <c r="AM482" i="8"/>
  <c r="AM478" i="8"/>
  <c r="AM471" i="8"/>
  <c r="AM467" i="8"/>
  <c r="AM463" i="8"/>
  <c r="AM451" i="8"/>
  <c r="AM447" i="8"/>
  <c r="AM443" i="8"/>
  <c r="AM439" i="8"/>
  <c r="AM435" i="8"/>
  <c r="AM431" i="8"/>
  <c r="AM419" i="8"/>
  <c r="AM415" i="8"/>
  <c r="AM404" i="8"/>
  <c r="AM400" i="8"/>
  <c r="AM396" i="8"/>
  <c r="AM388" i="8"/>
  <c r="AM384" i="8"/>
  <c r="AM380" i="8"/>
  <c r="AM372" i="8"/>
  <c r="AM368" i="8"/>
  <c r="AM364" i="8"/>
  <c r="AM356" i="8"/>
  <c r="AM352" i="8"/>
  <c r="AM348" i="8"/>
  <c r="AM337" i="8"/>
  <c r="AM333" i="8"/>
  <c r="AM329" i="8"/>
  <c r="AM321" i="8"/>
  <c r="AM317" i="8"/>
  <c r="AM313" i="8"/>
  <c r="AM305" i="8"/>
  <c r="AM301" i="8"/>
  <c r="AM297" i="8"/>
  <c r="AM289" i="8"/>
  <c r="AM285" i="8"/>
  <c r="AM281" i="8"/>
  <c r="AM270" i="8"/>
  <c r="AM682" i="8"/>
  <c r="AM675" i="8"/>
  <c r="AM671" i="8"/>
  <c r="AM667" i="8"/>
  <c r="AM663" i="8"/>
  <c r="AM659" i="8"/>
  <c r="AM655" i="8"/>
  <c r="AM651" i="8"/>
  <c r="AM647" i="8"/>
  <c r="AM643" i="8"/>
  <c r="AM639" i="8"/>
  <c r="AM635" i="8"/>
  <c r="AM631" i="8"/>
  <c r="AM627" i="8"/>
  <c r="AM623" i="8"/>
  <c r="AM619" i="8"/>
  <c r="AM615" i="8"/>
  <c r="AM608" i="8"/>
  <c r="AM596" i="8"/>
  <c r="AM592" i="8"/>
  <c r="AM588" i="8"/>
  <c r="AM584" i="8"/>
  <c r="AM580" i="8"/>
  <c r="AM576" i="8"/>
  <c r="AM564" i="8"/>
  <c r="AM560" i="8"/>
  <c r="AM556" i="8"/>
  <c r="AM552" i="8"/>
  <c r="AM548" i="8"/>
  <c r="AM541" i="8"/>
  <c r="AM529" i="8"/>
  <c r="AM525" i="8"/>
  <c r="AM521" i="8"/>
  <c r="AM517" i="8"/>
  <c r="AM513" i="8"/>
  <c r="AM509" i="8"/>
  <c r="AM497" i="8"/>
  <c r="AM493" i="8"/>
  <c r="AM489" i="8"/>
  <c r="AM485" i="8"/>
  <c r="AM481" i="8"/>
  <c r="AM474" i="8"/>
  <c r="AM462" i="8"/>
  <c r="AM458" i="8"/>
  <c r="AM454" i="8"/>
  <c r="AM450" i="8"/>
  <c r="AM446" i="8"/>
  <c r="AM442" i="8"/>
  <c r="AM430" i="8"/>
  <c r="AM426" i="8"/>
  <c r="AM422" i="8"/>
  <c r="AM418" i="8"/>
  <c r="AM414" i="8"/>
  <c r="AM407" i="8"/>
  <c r="AM403" i="8"/>
  <c r="AM395" i="8"/>
  <c r="AM391" i="8"/>
  <c r="AM387" i="8"/>
  <c r="AM379" i="8"/>
  <c r="AM375" i="8"/>
  <c r="AM371" i="8"/>
  <c r="AM363" i="8"/>
  <c r="AM359" i="8"/>
  <c r="AM355" i="8"/>
  <c r="AM347" i="8"/>
  <c r="AM340" i="8"/>
  <c r="AM336" i="8"/>
  <c r="AM328" i="8"/>
  <c r="AM324" i="8"/>
  <c r="AM320" i="8"/>
  <c r="AM312" i="8"/>
  <c r="AM308" i="8"/>
  <c r="AM304" i="8"/>
  <c r="AM296" i="8"/>
  <c r="AM292" i="8"/>
  <c r="AM288" i="8"/>
  <c r="AM280" i="8"/>
  <c r="AM273" i="8"/>
  <c r="AM269" i="8"/>
  <c r="AM625" i="8"/>
  <c r="AM621" i="8"/>
  <c r="AM617" i="8"/>
  <c r="AM613" i="8"/>
  <c r="AM606" i="8"/>
  <c r="AM602" i="8"/>
  <c r="AM598" i="8"/>
  <c r="AM594" i="8"/>
  <c r="AM590" i="8"/>
  <c r="AM586" i="8"/>
  <c r="AM582" i="8"/>
  <c r="AM578" i="8"/>
  <c r="AM574" i="8"/>
  <c r="AM570" i="8"/>
  <c r="AM566" i="8"/>
  <c r="AM562" i="8"/>
  <c r="AM558" i="8"/>
  <c r="AM554" i="8"/>
  <c r="AM550" i="8"/>
  <c r="AM546" i="8"/>
  <c r="AM539" i="8"/>
  <c r="AM535" i="8"/>
  <c r="AM531" i="8"/>
  <c r="AM527" i="8"/>
  <c r="AM523" i="8"/>
  <c r="AM519" i="8"/>
  <c r="AM515" i="8"/>
  <c r="AM511" i="8"/>
  <c r="AM507" i="8"/>
  <c r="AM503" i="8"/>
  <c r="AM499" i="8"/>
  <c r="AM495" i="8"/>
  <c r="AM491" i="8"/>
  <c r="AM487" i="8"/>
  <c r="AM483" i="8"/>
  <c r="AM479" i="8"/>
  <c r="AM472" i="8"/>
  <c r="AM468" i="8"/>
  <c r="AM464" i="8"/>
  <c r="AM460" i="8"/>
  <c r="AM456" i="8"/>
  <c r="AM452" i="8"/>
  <c r="AM448" i="8"/>
  <c r="AM444" i="8"/>
  <c r="AM440" i="8"/>
  <c r="AM436" i="8"/>
  <c r="AM432" i="8"/>
  <c r="AM428" i="8"/>
  <c r="AM424" i="8"/>
  <c r="AM420" i="8"/>
  <c r="AM416" i="8"/>
  <c r="AM412" i="8"/>
  <c r="AM405" i="8"/>
  <c r="AM401" i="8"/>
  <c r="AM397" i="8"/>
  <c r="AM393" i="8"/>
  <c r="AM389" i="8"/>
  <c r="AM385" i="8"/>
  <c r="AM381" i="8"/>
  <c r="AM377" i="8"/>
  <c r="AM373" i="8"/>
  <c r="AM369" i="8"/>
  <c r="AM365" i="8"/>
  <c r="AM361" i="8"/>
  <c r="AM357" i="8"/>
  <c r="AM353" i="8"/>
  <c r="AM349" i="8"/>
  <c r="AM345" i="8"/>
  <c r="AM338" i="8"/>
  <c r="AM334" i="8"/>
  <c r="AM330" i="8"/>
  <c r="AM326" i="8"/>
  <c r="AM322" i="8"/>
  <c r="AM318" i="8"/>
  <c r="AM314" i="8"/>
  <c r="AM310" i="8"/>
  <c r="AM306" i="8"/>
  <c r="AM302" i="8"/>
  <c r="AM298" i="8"/>
  <c r="AM294" i="8"/>
  <c r="AM290" i="8"/>
  <c r="AM286" i="8"/>
  <c r="AM282" i="8"/>
  <c r="AM278" i="8"/>
  <c r="AM271" i="8"/>
  <c r="AM642" i="8"/>
  <c r="AM638" i="8"/>
  <c r="AM634" i="8"/>
  <c r="AM630" i="8"/>
  <c r="AM626" i="8"/>
  <c r="AM622" i="8"/>
  <c r="AM607" i="8"/>
  <c r="AM603" i="8"/>
  <c r="AM591" i="8"/>
  <c r="AM587" i="8"/>
  <c r="AM575" i="8"/>
  <c r="AM571" i="8"/>
  <c r="AM559" i="8"/>
  <c r="AM555" i="8"/>
  <c r="AM540" i="8"/>
  <c r="AM536" i="8"/>
  <c r="AM524" i="8"/>
  <c r="AM520" i="8"/>
  <c r="AM508" i="8"/>
  <c r="AM504" i="8"/>
  <c r="AM492" i="8"/>
  <c r="AM488" i="8"/>
  <c r="AM473" i="8"/>
  <c r="AM469" i="8"/>
  <c r="AM457" i="8"/>
  <c r="AM453" i="8"/>
  <c r="AM441" i="8"/>
  <c r="AM437" i="8"/>
  <c r="AM425" i="8"/>
  <c r="AM421" i="8"/>
  <c r="AM413" i="8"/>
  <c r="AM406" i="8"/>
  <c r="AM402" i="8"/>
  <c r="AM398" i="8"/>
  <c r="AM394" i="8"/>
  <c r="AM390" i="8"/>
  <c r="AM386" i="8"/>
  <c r="AM382" i="8"/>
  <c r="AM378" i="8"/>
  <c r="AM374" i="8"/>
  <c r="AM370" i="8"/>
  <c r="AM366" i="8"/>
  <c r="AM362" i="8"/>
  <c r="AM358" i="8"/>
  <c r="AM354" i="8"/>
  <c r="AM350" i="8"/>
  <c r="AM346" i="8"/>
  <c r="AM339" i="8"/>
  <c r="AM335" i="8"/>
  <c r="AM331" i="8"/>
  <c r="AM327" i="8"/>
  <c r="AM323" i="8"/>
  <c r="AM319" i="8"/>
  <c r="AM315" i="8"/>
  <c r="AM311" i="8"/>
  <c r="AM307" i="8"/>
  <c r="AM303" i="8"/>
  <c r="AM299" i="8"/>
  <c r="AM295" i="8"/>
  <c r="AM291" i="8"/>
  <c r="AM287" i="8"/>
  <c r="AM283" i="8"/>
  <c r="AM279" i="8"/>
  <c r="AM272" i="8"/>
  <c r="AM10" i="10" l="1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M99" i="10"/>
  <c r="AM100" i="10"/>
  <c r="AM101" i="10"/>
  <c r="AM102" i="10"/>
  <c r="AM103" i="10"/>
  <c r="AM104" i="10"/>
  <c r="AM105" i="10"/>
  <c r="AM106" i="10"/>
  <c r="AM107" i="10"/>
  <c r="AM108" i="10"/>
  <c r="AM109" i="10"/>
  <c r="AM110" i="10"/>
  <c r="AM111" i="10"/>
  <c r="AM112" i="10"/>
  <c r="AM113" i="10"/>
  <c r="AM114" i="10"/>
  <c r="AM115" i="10"/>
  <c r="AM116" i="10"/>
  <c r="AM117" i="10"/>
  <c r="AM118" i="10"/>
  <c r="AM119" i="10"/>
  <c r="AM120" i="10"/>
  <c r="AM121" i="10"/>
  <c r="AM122" i="10"/>
  <c r="AM123" i="10"/>
  <c r="AM124" i="10"/>
  <c r="AM125" i="10"/>
  <c r="AM126" i="10"/>
  <c r="AM127" i="10"/>
  <c r="AM128" i="10"/>
  <c r="AM129" i="10"/>
  <c r="AM130" i="10"/>
  <c r="AM131" i="10"/>
  <c r="AM132" i="10"/>
  <c r="AM133" i="10"/>
  <c r="AM134" i="10"/>
  <c r="AM135" i="10"/>
  <c r="AM139" i="10"/>
  <c r="AM140" i="10"/>
  <c r="AM141" i="10"/>
  <c r="AM142" i="10"/>
  <c r="AM143" i="10"/>
  <c r="AM144" i="10"/>
  <c r="AM145" i="10"/>
  <c r="AM146" i="10"/>
  <c r="AM147" i="10"/>
  <c r="AM148" i="10"/>
  <c r="AM149" i="10"/>
  <c r="AM150" i="10"/>
  <c r="AM151" i="10"/>
  <c r="AM152" i="10"/>
  <c r="AM153" i="10"/>
  <c r="AM154" i="10"/>
  <c r="AM155" i="10"/>
  <c r="AM156" i="10"/>
  <c r="AM157" i="10"/>
  <c r="AM158" i="10"/>
  <c r="AM159" i="10"/>
  <c r="AM160" i="10"/>
  <c r="AM161" i="10"/>
  <c r="AM162" i="10"/>
  <c r="AM163" i="10"/>
  <c r="AM164" i="10"/>
  <c r="AM165" i="10"/>
  <c r="AM166" i="10"/>
  <c r="AM167" i="10"/>
  <c r="AM168" i="10"/>
  <c r="AM169" i="10"/>
  <c r="AM170" i="10"/>
  <c r="AM171" i="10"/>
  <c r="AM172" i="10"/>
  <c r="AM173" i="10"/>
  <c r="AM174" i="10"/>
  <c r="AM175" i="10"/>
  <c r="AM176" i="10"/>
  <c r="AM177" i="10"/>
  <c r="AM178" i="10"/>
  <c r="AM179" i="10"/>
  <c r="AM180" i="10"/>
  <c r="AM181" i="10"/>
  <c r="AM182" i="10"/>
  <c r="AM183" i="10"/>
  <c r="AM184" i="10"/>
  <c r="AM185" i="10"/>
  <c r="AM186" i="10"/>
  <c r="AM187" i="10"/>
  <c r="AM188" i="10"/>
  <c r="AM189" i="10"/>
  <c r="AM190" i="10"/>
  <c r="AM191" i="10"/>
  <c r="AM192" i="10"/>
  <c r="AM193" i="10"/>
  <c r="AM194" i="10"/>
  <c r="AM195" i="10"/>
  <c r="AM196" i="10"/>
  <c r="AM197" i="10"/>
  <c r="AM198" i="10"/>
  <c r="AM199" i="10"/>
  <c r="AM200" i="10"/>
  <c r="AM204" i="10"/>
  <c r="AM205" i="10"/>
  <c r="AM206" i="10"/>
  <c r="AM207" i="10"/>
  <c r="AM208" i="10"/>
  <c r="AM209" i="10"/>
  <c r="AM210" i="10"/>
  <c r="AM211" i="10"/>
  <c r="AM212" i="10"/>
  <c r="AM213" i="10"/>
  <c r="AM214" i="10"/>
  <c r="AM215" i="10"/>
  <c r="AM216" i="10"/>
  <c r="AM217" i="10"/>
  <c r="AM218" i="10"/>
  <c r="AM219" i="10"/>
  <c r="AM220" i="10"/>
  <c r="AM221" i="10"/>
  <c r="AM222" i="10"/>
  <c r="AM223" i="10"/>
  <c r="AM224" i="10"/>
  <c r="AM225" i="10"/>
  <c r="AM226" i="10"/>
  <c r="AM227" i="10"/>
  <c r="AM228" i="10"/>
  <c r="AM229" i="10"/>
  <c r="AM230" i="10"/>
  <c r="AM231" i="10"/>
  <c r="AM232" i="10"/>
  <c r="AM233" i="10"/>
  <c r="AM234" i="10"/>
  <c r="AM235" i="10"/>
  <c r="AM236" i="10"/>
  <c r="AM237" i="10"/>
  <c r="AM238" i="10"/>
  <c r="AM239" i="10"/>
  <c r="AM240" i="10"/>
  <c r="AM241" i="10"/>
  <c r="AM242" i="10"/>
  <c r="AM243" i="10"/>
  <c r="AM244" i="10"/>
  <c r="AM245" i="10"/>
  <c r="AM246" i="10"/>
  <c r="AM247" i="10"/>
  <c r="AM248" i="10"/>
  <c r="AM249" i="10"/>
  <c r="AM250" i="10"/>
  <c r="AM251" i="10"/>
  <c r="AM252" i="10"/>
  <c r="AM253" i="10"/>
  <c r="AM254" i="10"/>
  <c r="AM255" i="10"/>
  <c r="AM256" i="10"/>
  <c r="AM257" i="10"/>
  <c r="AM258" i="10"/>
  <c r="AM259" i="10"/>
  <c r="AM260" i="10"/>
  <c r="AM261" i="10"/>
  <c r="AM262" i="10"/>
  <c r="AM263" i="10"/>
  <c r="AM264" i="10"/>
  <c r="AM265" i="10"/>
  <c r="AM269" i="10"/>
  <c r="AM270" i="10"/>
  <c r="AM271" i="10"/>
  <c r="AM272" i="10"/>
  <c r="AM273" i="10"/>
  <c r="AM274" i="10"/>
  <c r="AM275" i="10"/>
  <c r="AM276" i="10"/>
  <c r="AM277" i="10"/>
  <c r="AM278" i="10"/>
  <c r="AM279" i="10"/>
  <c r="AM280" i="10"/>
  <c r="AM281" i="10"/>
  <c r="AM282" i="10"/>
  <c r="AM283" i="10"/>
  <c r="AM284" i="10"/>
  <c r="AM285" i="10"/>
  <c r="AM286" i="10"/>
  <c r="AM287" i="10"/>
  <c r="AM288" i="10"/>
  <c r="AM289" i="10"/>
  <c r="AM290" i="10"/>
  <c r="AM291" i="10"/>
  <c r="AM292" i="10"/>
  <c r="AM293" i="10"/>
  <c r="AM294" i="10"/>
  <c r="AM295" i="10"/>
  <c r="AM296" i="10"/>
  <c r="AM297" i="10"/>
  <c r="AM298" i="10"/>
  <c r="AM299" i="10"/>
  <c r="AM300" i="10"/>
  <c r="AM301" i="10"/>
  <c r="AM302" i="10"/>
  <c r="AM303" i="10"/>
  <c r="AM304" i="10"/>
  <c r="AM305" i="10"/>
  <c r="AM306" i="10"/>
  <c r="AM307" i="10"/>
  <c r="AM308" i="10"/>
  <c r="AM309" i="10"/>
  <c r="AM310" i="10"/>
  <c r="AM311" i="10"/>
  <c r="AM312" i="10"/>
  <c r="AM313" i="10"/>
  <c r="AM314" i="10"/>
  <c r="AM315" i="10"/>
  <c r="AM316" i="10"/>
  <c r="AM317" i="10"/>
  <c r="AM318" i="10"/>
  <c r="AM319" i="10"/>
  <c r="AM320" i="10"/>
  <c r="AM321" i="10"/>
  <c r="AM322" i="10"/>
  <c r="AM323" i="10"/>
  <c r="AM324" i="10"/>
  <c r="AM325" i="10"/>
  <c r="AM326" i="10"/>
  <c r="AM327" i="10"/>
  <c r="AM328" i="10"/>
  <c r="AM329" i="10"/>
  <c r="AM330" i="10"/>
  <c r="AM334" i="10"/>
  <c r="AM335" i="10"/>
  <c r="AM336" i="10"/>
  <c r="AM337" i="10"/>
  <c r="AM338" i="10"/>
  <c r="AM339" i="10"/>
  <c r="AM340" i="10"/>
  <c r="AM341" i="10"/>
  <c r="AM342" i="10"/>
  <c r="AM343" i="10"/>
  <c r="AM344" i="10"/>
  <c r="AM345" i="10"/>
  <c r="AM346" i="10"/>
  <c r="AM347" i="10"/>
  <c r="AM348" i="10"/>
  <c r="AM349" i="10"/>
  <c r="AM350" i="10"/>
  <c r="AM351" i="10"/>
  <c r="AM352" i="10"/>
  <c r="AM353" i="10"/>
  <c r="AM354" i="10"/>
  <c r="AM355" i="10"/>
  <c r="AM356" i="10"/>
  <c r="AM357" i="10"/>
  <c r="AM358" i="10"/>
  <c r="AM359" i="10"/>
  <c r="AM360" i="10"/>
  <c r="AM361" i="10"/>
  <c r="AM362" i="10"/>
  <c r="AM363" i="10"/>
  <c r="AM364" i="10"/>
  <c r="AM365" i="10"/>
  <c r="AM366" i="10"/>
  <c r="AM367" i="10"/>
  <c r="AM368" i="10"/>
  <c r="AM369" i="10"/>
  <c r="AM370" i="10"/>
  <c r="AM371" i="10"/>
  <c r="AM372" i="10"/>
  <c r="AM373" i="10"/>
  <c r="AM374" i="10"/>
  <c r="AM375" i="10"/>
  <c r="AM376" i="10"/>
  <c r="AM377" i="10"/>
  <c r="AM378" i="10"/>
  <c r="AM379" i="10"/>
  <c r="AM380" i="10"/>
  <c r="AM381" i="10"/>
  <c r="AM382" i="10"/>
  <c r="AM383" i="10"/>
  <c r="AM384" i="10"/>
  <c r="AM385" i="10"/>
  <c r="AM386" i="10"/>
  <c r="AM387" i="10"/>
  <c r="AM388" i="10"/>
  <c r="AM389" i="10"/>
  <c r="AM390" i="10"/>
  <c r="AM391" i="10"/>
  <c r="AM392" i="10"/>
  <c r="AM393" i="10"/>
  <c r="AM394" i="10"/>
  <c r="AM395" i="10"/>
  <c r="AM399" i="10"/>
  <c r="AM400" i="10"/>
  <c r="AM401" i="10"/>
  <c r="AM402" i="10"/>
  <c r="AM403" i="10"/>
  <c r="AM404" i="10"/>
  <c r="AM405" i="10"/>
  <c r="AM406" i="10"/>
  <c r="AM407" i="10"/>
  <c r="AM408" i="10"/>
  <c r="AM409" i="10"/>
  <c r="AM410" i="10"/>
  <c r="AM411" i="10"/>
  <c r="AM412" i="10"/>
  <c r="AM413" i="10"/>
  <c r="AM414" i="10"/>
  <c r="AM415" i="10"/>
  <c r="AM416" i="10"/>
  <c r="AM417" i="10"/>
  <c r="AM418" i="10"/>
  <c r="AM419" i="10"/>
  <c r="AM420" i="10"/>
  <c r="AM421" i="10"/>
  <c r="AM422" i="10"/>
  <c r="AM423" i="10"/>
  <c r="AM424" i="10"/>
  <c r="AM425" i="10"/>
  <c r="AM426" i="10"/>
  <c r="AM427" i="10"/>
  <c r="AM428" i="10"/>
  <c r="AM429" i="10"/>
  <c r="AM430" i="10"/>
  <c r="AM431" i="10"/>
  <c r="AM432" i="10"/>
  <c r="AM433" i="10"/>
  <c r="AM434" i="10"/>
  <c r="AM435" i="10"/>
  <c r="AM436" i="10"/>
  <c r="AM437" i="10"/>
  <c r="AM438" i="10"/>
  <c r="AM439" i="10"/>
  <c r="AM440" i="10"/>
  <c r="AM441" i="10"/>
  <c r="AM442" i="10"/>
  <c r="AM443" i="10"/>
  <c r="AM444" i="10"/>
  <c r="AM445" i="10"/>
  <c r="AM446" i="10"/>
  <c r="AM447" i="10"/>
  <c r="AM448" i="10"/>
  <c r="AM449" i="10"/>
  <c r="AM450" i="10"/>
  <c r="AM451" i="10"/>
  <c r="AM452" i="10"/>
  <c r="AM453" i="10"/>
  <c r="AM454" i="10"/>
  <c r="AM455" i="10"/>
  <c r="AM456" i="10"/>
  <c r="AM457" i="10"/>
  <c r="AM458" i="10"/>
  <c r="AM459" i="10"/>
  <c r="AM460" i="10"/>
  <c r="AM464" i="10"/>
  <c r="AM465" i="10"/>
  <c r="AM466" i="10"/>
  <c r="AM467" i="10"/>
  <c r="AM468" i="10"/>
  <c r="AM469" i="10"/>
  <c r="AM470" i="10"/>
  <c r="AM471" i="10"/>
  <c r="AM472" i="10"/>
  <c r="AM473" i="10"/>
  <c r="AM474" i="10"/>
  <c r="AM475" i="10"/>
  <c r="AM476" i="10"/>
  <c r="AM477" i="10"/>
  <c r="AM478" i="10"/>
  <c r="AM479" i="10"/>
  <c r="AM480" i="10"/>
  <c r="AM481" i="10"/>
  <c r="AM482" i="10"/>
  <c r="AM483" i="10"/>
  <c r="AM484" i="10"/>
  <c r="AM485" i="10"/>
  <c r="AM486" i="10"/>
  <c r="AM487" i="10"/>
  <c r="AM488" i="10"/>
  <c r="AM489" i="10"/>
  <c r="AM490" i="10"/>
  <c r="AM491" i="10"/>
  <c r="AM492" i="10"/>
  <c r="AM493" i="10"/>
  <c r="AM494" i="10"/>
  <c r="AM495" i="10"/>
  <c r="AM496" i="10"/>
  <c r="AM497" i="10"/>
  <c r="AM498" i="10"/>
  <c r="AM499" i="10"/>
  <c r="AM500" i="10"/>
  <c r="AM501" i="10"/>
  <c r="AM502" i="10"/>
  <c r="AM503" i="10"/>
  <c r="AM504" i="10"/>
  <c r="AM505" i="10"/>
  <c r="AM506" i="10"/>
  <c r="AM507" i="10"/>
  <c r="AM508" i="10"/>
  <c r="AM509" i="10"/>
  <c r="AM510" i="10"/>
  <c r="AM511" i="10"/>
  <c r="AM512" i="10"/>
  <c r="AM513" i="10"/>
  <c r="AM514" i="10"/>
  <c r="AM515" i="10"/>
  <c r="AM516" i="10"/>
  <c r="AM517" i="10"/>
  <c r="AM518" i="10"/>
  <c r="AM519" i="10"/>
  <c r="AM520" i="10"/>
  <c r="AM521" i="10"/>
  <c r="AM522" i="10"/>
  <c r="AM523" i="10"/>
  <c r="AM524" i="10"/>
  <c r="AM525" i="10"/>
  <c r="AM529" i="10"/>
  <c r="AM530" i="10"/>
  <c r="AM531" i="10"/>
  <c r="AM532" i="10"/>
  <c r="AM533" i="10"/>
  <c r="AM534" i="10"/>
  <c r="AM535" i="10"/>
  <c r="AM536" i="10"/>
  <c r="AM537" i="10"/>
  <c r="AM538" i="10"/>
  <c r="AM539" i="10"/>
  <c r="AM540" i="10"/>
  <c r="AM541" i="10"/>
  <c r="AM542" i="10"/>
  <c r="AM543" i="10"/>
  <c r="AM544" i="10"/>
  <c r="AM545" i="10"/>
  <c r="AM546" i="10"/>
  <c r="AM547" i="10"/>
  <c r="AM548" i="10"/>
  <c r="AM549" i="10"/>
  <c r="AM550" i="10"/>
  <c r="AM551" i="10"/>
  <c r="AM552" i="10"/>
  <c r="AM553" i="10"/>
  <c r="AM554" i="10"/>
  <c r="AM555" i="10"/>
  <c r="AM556" i="10"/>
  <c r="AM557" i="10"/>
  <c r="AM558" i="10"/>
  <c r="AM559" i="10"/>
  <c r="AM560" i="10"/>
  <c r="AM561" i="10"/>
  <c r="AM562" i="10"/>
  <c r="AM563" i="10"/>
  <c r="AM564" i="10"/>
  <c r="AM565" i="10"/>
  <c r="AM566" i="10"/>
  <c r="AM567" i="10"/>
  <c r="AM568" i="10"/>
  <c r="AM569" i="10"/>
  <c r="AM570" i="10"/>
  <c r="AM571" i="10"/>
  <c r="AM572" i="10"/>
  <c r="AM573" i="10"/>
  <c r="AM574" i="10"/>
  <c r="AM575" i="10"/>
  <c r="AM576" i="10"/>
  <c r="AM577" i="10"/>
  <c r="AM578" i="10"/>
  <c r="AM579" i="10"/>
  <c r="AM580" i="10"/>
  <c r="AM581" i="10"/>
  <c r="AM582" i="10"/>
  <c r="AM583" i="10"/>
  <c r="AM584" i="10"/>
  <c r="AM585" i="10"/>
  <c r="AM586" i="10"/>
  <c r="AM587" i="10"/>
  <c r="AM588" i="10"/>
  <c r="AM589" i="10"/>
  <c r="AM590" i="10"/>
  <c r="AM594" i="10"/>
  <c r="AM595" i="10"/>
  <c r="AM596" i="10"/>
  <c r="AM597" i="10"/>
  <c r="AM598" i="10"/>
  <c r="AM599" i="10"/>
  <c r="AM600" i="10"/>
  <c r="AM601" i="10"/>
  <c r="AM602" i="10"/>
  <c r="AM603" i="10"/>
  <c r="AM604" i="10"/>
  <c r="AM605" i="10"/>
  <c r="AM606" i="10"/>
  <c r="AM607" i="10"/>
  <c r="AM608" i="10"/>
  <c r="AM609" i="10"/>
  <c r="AM610" i="10"/>
  <c r="AM611" i="10"/>
  <c r="AM612" i="10"/>
  <c r="AM613" i="10"/>
  <c r="AM614" i="10"/>
  <c r="AM615" i="10"/>
  <c r="AM616" i="10"/>
  <c r="AM617" i="10"/>
  <c r="AM618" i="10"/>
  <c r="AM619" i="10"/>
  <c r="AM620" i="10"/>
  <c r="AM621" i="10"/>
  <c r="AM622" i="10"/>
  <c r="AM623" i="10"/>
  <c r="AM624" i="10"/>
  <c r="AM625" i="10"/>
  <c r="AM626" i="10"/>
  <c r="AM627" i="10"/>
  <c r="AM628" i="10"/>
  <c r="AM629" i="10"/>
  <c r="AM630" i="10"/>
  <c r="AM631" i="10"/>
  <c r="AM632" i="10"/>
  <c r="AM633" i="10"/>
  <c r="AM634" i="10"/>
  <c r="AM635" i="10"/>
  <c r="AM636" i="10"/>
  <c r="AM637" i="10"/>
  <c r="AM638" i="10"/>
  <c r="AM639" i="10"/>
  <c r="AM640" i="10"/>
  <c r="AM641" i="10"/>
  <c r="AM642" i="10"/>
  <c r="AM643" i="10"/>
  <c r="AM644" i="10"/>
  <c r="AM645" i="10"/>
  <c r="AM646" i="10"/>
  <c r="AM647" i="10"/>
  <c r="AM648" i="10"/>
  <c r="AM649" i="10"/>
  <c r="AM650" i="10"/>
  <c r="AM651" i="10"/>
  <c r="AM652" i="10"/>
  <c r="AM653" i="10"/>
  <c r="AM654" i="10"/>
  <c r="AM655" i="10"/>
  <c r="AM659" i="10"/>
  <c r="AM660" i="10"/>
  <c r="AM661" i="10"/>
  <c r="AM662" i="10"/>
  <c r="AM663" i="10"/>
  <c r="AM664" i="10"/>
  <c r="AM665" i="10"/>
  <c r="AM666" i="10"/>
  <c r="AM667" i="10"/>
  <c r="AM668" i="10"/>
  <c r="AM669" i="10"/>
  <c r="AM670" i="10"/>
  <c r="AM671" i="10"/>
  <c r="AM672" i="10"/>
  <c r="AM673" i="10"/>
  <c r="AM674" i="10"/>
  <c r="AM675" i="10"/>
  <c r="AM676" i="10"/>
  <c r="AM677" i="10"/>
  <c r="AM678" i="10"/>
  <c r="AM679" i="10"/>
  <c r="AM680" i="10"/>
  <c r="AM681" i="10"/>
  <c r="AM9" i="10"/>
  <c r="AI682" i="11"/>
  <c r="AH682" i="11"/>
  <c r="AI681" i="11"/>
  <c r="AH681" i="11"/>
  <c r="AI680" i="11"/>
  <c r="AH680" i="11"/>
  <c r="AI679" i="11"/>
  <c r="AH679" i="11"/>
  <c r="AI675" i="11"/>
  <c r="AH675" i="11"/>
  <c r="AI674" i="11"/>
  <c r="AH674" i="11"/>
  <c r="AI673" i="11"/>
  <c r="AH673" i="11"/>
  <c r="AI672" i="11"/>
  <c r="AH672" i="11"/>
  <c r="AI671" i="11"/>
  <c r="AH671" i="11"/>
  <c r="AI670" i="11"/>
  <c r="AH670" i="11"/>
  <c r="AI669" i="11"/>
  <c r="AH669" i="11"/>
  <c r="AI668" i="11"/>
  <c r="AH668" i="11"/>
  <c r="AI666" i="11"/>
  <c r="AH666" i="11"/>
  <c r="AI665" i="11"/>
  <c r="AH665" i="11"/>
  <c r="AI664" i="11"/>
  <c r="AH664" i="11"/>
  <c r="AI663" i="11"/>
  <c r="AH663" i="11"/>
  <c r="AI662" i="11"/>
  <c r="AH662" i="11"/>
  <c r="AI661" i="11"/>
  <c r="AH661" i="11"/>
  <c r="AI660" i="11"/>
  <c r="AH660" i="11"/>
  <c r="AI659" i="11"/>
  <c r="AH659" i="11"/>
  <c r="AI658" i="11"/>
  <c r="AH658" i="11"/>
  <c r="AI657" i="11"/>
  <c r="AH657" i="11"/>
  <c r="AI656" i="11"/>
  <c r="AH656" i="11"/>
  <c r="AI655" i="11"/>
  <c r="AH655" i="11"/>
  <c r="AI654" i="11"/>
  <c r="AH654" i="11"/>
  <c r="AI653" i="11"/>
  <c r="AH653" i="11"/>
  <c r="AI652" i="11"/>
  <c r="AH652" i="11"/>
  <c r="AI651" i="11"/>
  <c r="AH651" i="11"/>
  <c r="AI649" i="11"/>
  <c r="AH649" i="11"/>
  <c r="AI648" i="11"/>
  <c r="AH648" i="11"/>
  <c r="AI647" i="11"/>
  <c r="AH647" i="11"/>
  <c r="AI645" i="11"/>
  <c r="AH645" i="11"/>
  <c r="AI644" i="11"/>
  <c r="AH644" i="11"/>
  <c r="AI643" i="11"/>
  <c r="AH643" i="11"/>
  <c r="AI642" i="11"/>
  <c r="AH642" i="11"/>
  <c r="AI641" i="11"/>
  <c r="AH641" i="11"/>
  <c r="AI640" i="11"/>
  <c r="AH640" i="11"/>
  <c r="AI639" i="11"/>
  <c r="AH639" i="11"/>
  <c r="AI638" i="11"/>
  <c r="AH638" i="11"/>
  <c r="AI636" i="11"/>
  <c r="AH636" i="11"/>
  <c r="AI635" i="11"/>
  <c r="AH635" i="11"/>
  <c r="AI634" i="11"/>
  <c r="AH634" i="11"/>
  <c r="AI633" i="11"/>
  <c r="AH633" i="11"/>
  <c r="AI632" i="11"/>
  <c r="AH632" i="11"/>
  <c r="AI630" i="11"/>
  <c r="AH630" i="11"/>
  <c r="AI629" i="11"/>
  <c r="AH629" i="11"/>
  <c r="AI628" i="11"/>
  <c r="AH628" i="11"/>
  <c r="AI627" i="11"/>
  <c r="AH627" i="11"/>
  <c r="AI626" i="11"/>
  <c r="AH626" i="11"/>
  <c r="AI625" i="11"/>
  <c r="AH625" i="11"/>
  <c r="AI624" i="11"/>
  <c r="AH624" i="11"/>
  <c r="AI623" i="11"/>
  <c r="AH623" i="11"/>
  <c r="AI622" i="11"/>
  <c r="AH622" i="11"/>
  <c r="AI621" i="11"/>
  <c r="AH621" i="11"/>
  <c r="AI620" i="11"/>
  <c r="AH620" i="11"/>
  <c r="AI619" i="11"/>
  <c r="AH619" i="11"/>
  <c r="AI618" i="11"/>
  <c r="AH618" i="11"/>
  <c r="AI617" i="11"/>
  <c r="AH617" i="11"/>
  <c r="AI616" i="11"/>
  <c r="AH616" i="11"/>
  <c r="AI615" i="11"/>
  <c r="AH615" i="11"/>
  <c r="AI614" i="11"/>
  <c r="AH614" i="11"/>
  <c r="AI613" i="11"/>
  <c r="AH613" i="11"/>
  <c r="AI612" i="11"/>
  <c r="AH612" i="11"/>
  <c r="AI608" i="11"/>
  <c r="AH608" i="11"/>
  <c r="AI607" i="11"/>
  <c r="AH607" i="11"/>
  <c r="AI606" i="11"/>
  <c r="AH606" i="11"/>
  <c r="AI605" i="11"/>
  <c r="AH605" i="11"/>
  <c r="AI604" i="11"/>
  <c r="AH604" i="11"/>
  <c r="AI603" i="11"/>
  <c r="AH603" i="11"/>
  <c r="AI602" i="11"/>
  <c r="AH602" i="11"/>
  <c r="AI601" i="11"/>
  <c r="AH601" i="11"/>
  <c r="AI600" i="11"/>
  <c r="AH600" i="11"/>
  <c r="AI599" i="11"/>
  <c r="AH599" i="11"/>
  <c r="AI598" i="11"/>
  <c r="AH598" i="11"/>
  <c r="AI597" i="11"/>
  <c r="AH597" i="11"/>
  <c r="AI596" i="11"/>
  <c r="AH596" i="11"/>
  <c r="AI595" i="11"/>
  <c r="AH595" i="11"/>
  <c r="AI594" i="11"/>
  <c r="AH594" i="11"/>
  <c r="AI593" i="11"/>
  <c r="AH593" i="11"/>
  <c r="AI592" i="11"/>
  <c r="AH592" i="11"/>
  <c r="AI591" i="11"/>
  <c r="AH591" i="11"/>
  <c r="AI590" i="11"/>
  <c r="AH590" i="11"/>
  <c r="AI589" i="11"/>
  <c r="AH589" i="11"/>
  <c r="AI588" i="11"/>
  <c r="AH588" i="11"/>
  <c r="AI587" i="11"/>
  <c r="AH587" i="11"/>
  <c r="AI586" i="11"/>
  <c r="AH586" i="11"/>
  <c r="AI585" i="11"/>
  <c r="AH585" i="11"/>
  <c r="AI584" i="11"/>
  <c r="AH584" i="11"/>
  <c r="AI583" i="11"/>
  <c r="AH583" i="11"/>
  <c r="AI582" i="11"/>
  <c r="AH582" i="11"/>
  <c r="AI581" i="11"/>
  <c r="AH581" i="11"/>
  <c r="AI580" i="11"/>
  <c r="AH580" i="11"/>
  <c r="AI579" i="11"/>
  <c r="AH579" i="11"/>
  <c r="AI577" i="11"/>
  <c r="AH577" i="11"/>
  <c r="AI576" i="11"/>
  <c r="AH576" i="11"/>
  <c r="AI575" i="11"/>
  <c r="AH575" i="11"/>
  <c r="AI574" i="11"/>
  <c r="AH574" i="11"/>
  <c r="AI573" i="11"/>
  <c r="AH573" i="11"/>
  <c r="AI572" i="11"/>
  <c r="AH572" i="11"/>
  <c r="AI571" i="11"/>
  <c r="AH571" i="11"/>
  <c r="AI570" i="11"/>
  <c r="AH570" i="11"/>
  <c r="AI569" i="11"/>
  <c r="AH569" i="11"/>
  <c r="AI568" i="11"/>
  <c r="AH568" i="11"/>
  <c r="AI567" i="11"/>
  <c r="AH567" i="11"/>
  <c r="AI566" i="11"/>
  <c r="AH566" i="11"/>
  <c r="AI565" i="11"/>
  <c r="AH565" i="11"/>
  <c r="AI564" i="11"/>
  <c r="AH564" i="11"/>
  <c r="AI563" i="11"/>
  <c r="AH563" i="11"/>
  <c r="AI562" i="11"/>
  <c r="AH562" i="11"/>
  <c r="AI561" i="11"/>
  <c r="AH561" i="11"/>
  <c r="AI560" i="11"/>
  <c r="AH560" i="11"/>
  <c r="AI559" i="11"/>
  <c r="AH559" i="11"/>
  <c r="AI558" i="11"/>
  <c r="AH558" i="11"/>
  <c r="AI557" i="11"/>
  <c r="AH557" i="11"/>
  <c r="AI556" i="11"/>
  <c r="AH556" i="11"/>
  <c r="AI555" i="11"/>
  <c r="AH555" i="11"/>
  <c r="AI554" i="11"/>
  <c r="AH554" i="11"/>
  <c r="AI553" i="11"/>
  <c r="AH553" i="11"/>
  <c r="AI552" i="11"/>
  <c r="AH552" i="11"/>
  <c r="AI551" i="11"/>
  <c r="AH551" i="11"/>
  <c r="AI550" i="11"/>
  <c r="AH550" i="11"/>
  <c r="AI549" i="11"/>
  <c r="AH549" i="11"/>
  <c r="AI548" i="11"/>
  <c r="AH548" i="11"/>
  <c r="AI547" i="11"/>
  <c r="AH547" i="11"/>
  <c r="AI546" i="11"/>
  <c r="AH546" i="11"/>
  <c r="AI545" i="11"/>
  <c r="AH545" i="11"/>
  <c r="AI541" i="11"/>
  <c r="AH541" i="11"/>
  <c r="AI540" i="11"/>
  <c r="AH540" i="11"/>
  <c r="AI539" i="11"/>
  <c r="AH539" i="11"/>
  <c r="AI538" i="11"/>
  <c r="AH538" i="11"/>
  <c r="AI537" i="11"/>
  <c r="AH537" i="11"/>
  <c r="AI536" i="11"/>
  <c r="AH536" i="11"/>
  <c r="AI535" i="11"/>
  <c r="AH535" i="11"/>
  <c r="AI534" i="11"/>
  <c r="AH534" i="11"/>
  <c r="AI533" i="11"/>
  <c r="AH533" i="11"/>
  <c r="AI532" i="11"/>
  <c r="AH532" i="11"/>
  <c r="AI531" i="11"/>
  <c r="AH531" i="11"/>
  <c r="AI530" i="11"/>
  <c r="AH530" i="11"/>
  <c r="AI529" i="11"/>
  <c r="AH529" i="11"/>
  <c r="AI528" i="11"/>
  <c r="AH528" i="11"/>
  <c r="AI527" i="11"/>
  <c r="AH527" i="11"/>
  <c r="AI526" i="11"/>
  <c r="AH526" i="11"/>
  <c r="AI525" i="11"/>
  <c r="AH525" i="11"/>
  <c r="AI524" i="11"/>
  <c r="AH524" i="11"/>
  <c r="AI523" i="11"/>
  <c r="AH523" i="11"/>
  <c r="AI522" i="11"/>
  <c r="AH522" i="11"/>
  <c r="AI521" i="11"/>
  <c r="AH521" i="11"/>
  <c r="AI520" i="11"/>
  <c r="AH520" i="11"/>
  <c r="AI519" i="11"/>
  <c r="AH519" i="11"/>
  <c r="AI518" i="11"/>
  <c r="AH518" i="11"/>
  <c r="AI517" i="11"/>
  <c r="AH517" i="11"/>
  <c r="AI516" i="11"/>
  <c r="AH516" i="11"/>
  <c r="AI515" i="11"/>
  <c r="AH515" i="11"/>
  <c r="AI514" i="11"/>
  <c r="AH514" i="11"/>
  <c r="AI512" i="11"/>
  <c r="AH512" i="11"/>
  <c r="AI511" i="11"/>
  <c r="AH511" i="11"/>
  <c r="AI510" i="11"/>
  <c r="AH510" i="11"/>
  <c r="AI509" i="11"/>
  <c r="AH509" i="11"/>
  <c r="AI508" i="11"/>
  <c r="AH508" i="11"/>
  <c r="AI507" i="11"/>
  <c r="AH507" i="11"/>
  <c r="AI506" i="11"/>
  <c r="AH506" i="11"/>
  <c r="AI505" i="11"/>
  <c r="AH505" i="11"/>
  <c r="AI504" i="11"/>
  <c r="AH504" i="11"/>
  <c r="AI503" i="11"/>
  <c r="AH503" i="11"/>
  <c r="AI502" i="11"/>
  <c r="AH502" i="11"/>
  <c r="AI501" i="11"/>
  <c r="AH501" i="11"/>
  <c r="AI500" i="11"/>
  <c r="AH500" i="11"/>
  <c r="AI499" i="11"/>
  <c r="AH499" i="11"/>
  <c r="AI498" i="11"/>
  <c r="AH498" i="11"/>
  <c r="AI497" i="11"/>
  <c r="AH497" i="11"/>
  <c r="AI496" i="11"/>
  <c r="AH496" i="11"/>
  <c r="AI495" i="11"/>
  <c r="AH495" i="11"/>
  <c r="AI494" i="11"/>
  <c r="AH494" i="11"/>
  <c r="AI493" i="11"/>
  <c r="AH493" i="11"/>
  <c r="AI492" i="11"/>
  <c r="AH492" i="11"/>
  <c r="AI491" i="11"/>
  <c r="AH491" i="11"/>
  <c r="AI490" i="11"/>
  <c r="AH490" i="11"/>
  <c r="AI489" i="11"/>
  <c r="AH489" i="11"/>
  <c r="AI488" i="11"/>
  <c r="AH488" i="11"/>
  <c r="AI487" i="11"/>
  <c r="AH487" i="11"/>
  <c r="AI486" i="11"/>
  <c r="AH486" i="11"/>
  <c r="AI485" i="11"/>
  <c r="AH485" i="11"/>
  <c r="AI484" i="11"/>
  <c r="AH484" i="11"/>
  <c r="AI483" i="11"/>
  <c r="AH483" i="11"/>
  <c r="AI482" i="11"/>
  <c r="AH482" i="11"/>
  <c r="AI481" i="11"/>
  <c r="AH481" i="11"/>
  <c r="AI480" i="11"/>
  <c r="AH480" i="11"/>
  <c r="AI479" i="11"/>
  <c r="AH479" i="11"/>
  <c r="AI478" i="11"/>
  <c r="AH478" i="11"/>
  <c r="AI474" i="11"/>
  <c r="AH474" i="11"/>
  <c r="AI472" i="11"/>
  <c r="AH472" i="11"/>
  <c r="AI471" i="11"/>
  <c r="AH471" i="11"/>
  <c r="AI470" i="11"/>
  <c r="AH470" i="11"/>
  <c r="AI469" i="11"/>
  <c r="AH469" i="11"/>
  <c r="AI468" i="11"/>
  <c r="AH468" i="11"/>
  <c r="AI467" i="11"/>
  <c r="AH467" i="11"/>
  <c r="AI466" i="11"/>
  <c r="AH466" i="11"/>
  <c r="AI465" i="11"/>
  <c r="AH465" i="11"/>
  <c r="AI463" i="11"/>
  <c r="AH463" i="11"/>
  <c r="AI462" i="11"/>
  <c r="AH462" i="11"/>
  <c r="AI461" i="11"/>
  <c r="AH461" i="11"/>
  <c r="AI460" i="11"/>
  <c r="AH460" i="11"/>
  <c r="AI459" i="11"/>
  <c r="AH459" i="11"/>
  <c r="AI458" i="11"/>
  <c r="AH458" i="11"/>
  <c r="AI457" i="11"/>
  <c r="AH457" i="11"/>
  <c r="AI456" i="11"/>
  <c r="AH456" i="11"/>
  <c r="AI455" i="11"/>
  <c r="AH455" i="11"/>
  <c r="AI454" i="11"/>
  <c r="AH454" i="11"/>
  <c r="AI453" i="11"/>
  <c r="AH453" i="11"/>
  <c r="AI451" i="11"/>
  <c r="AH451" i="11"/>
  <c r="AI450" i="11"/>
  <c r="AH450" i="11"/>
  <c r="AI449" i="11"/>
  <c r="AH449" i="11"/>
  <c r="AI448" i="11"/>
  <c r="AH448" i="11"/>
  <c r="AI447" i="11"/>
  <c r="AH447" i="11"/>
  <c r="AI446" i="11"/>
  <c r="AH446" i="11"/>
  <c r="AI445" i="11"/>
  <c r="AH445" i="11"/>
  <c r="AI444" i="11"/>
  <c r="AH444" i="11"/>
  <c r="AI443" i="11"/>
  <c r="AH443" i="11"/>
  <c r="AI442" i="11"/>
  <c r="AH442" i="11"/>
  <c r="AI441" i="11"/>
  <c r="AH441" i="11"/>
  <c r="AI440" i="11"/>
  <c r="AH440" i="11"/>
  <c r="AI439" i="11"/>
  <c r="AH439" i="11"/>
  <c r="AI438" i="11"/>
  <c r="AH438" i="11"/>
  <c r="AI437" i="11"/>
  <c r="AH437" i="11"/>
  <c r="AI436" i="11"/>
  <c r="AH436" i="11"/>
  <c r="AI435" i="11"/>
  <c r="AH435" i="11"/>
  <c r="AI434" i="11"/>
  <c r="AH434" i="11"/>
  <c r="AI433" i="11"/>
  <c r="AH433" i="11"/>
  <c r="AI432" i="11"/>
  <c r="AH432" i="11"/>
  <c r="AI431" i="11"/>
  <c r="AH431" i="11"/>
  <c r="AI430" i="11"/>
  <c r="AH430" i="11"/>
  <c r="AI429" i="11"/>
  <c r="AH429" i="11"/>
  <c r="AI428" i="11"/>
  <c r="AH428" i="11"/>
  <c r="AI427" i="11"/>
  <c r="AH427" i="11"/>
  <c r="AI426" i="11"/>
  <c r="AH426" i="11"/>
  <c r="AI425" i="11"/>
  <c r="AH425" i="11"/>
  <c r="AI424" i="11"/>
  <c r="AH424" i="11"/>
  <c r="AI423" i="11"/>
  <c r="AH423" i="11"/>
  <c r="AI422" i="11"/>
  <c r="AH422" i="11"/>
  <c r="AI421" i="11"/>
  <c r="AH421" i="11"/>
  <c r="AI420" i="11"/>
  <c r="AH420" i="11"/>
  <c r="AI419" i="11"/>
  <c r="AH419" i="11"/>
  <c r="AI418" i="11"/>
  <c r="AH418" i="11"/>
  <c r="AI417" i="11"/>
  <c r="AH417" i="11"/>
  <c r="AI416" i="11"/>
  <c r="AH416" i="11"/>
  <c r="AI415" i="11"/>
  <c r="AH415" i="11"/>
  <c r="AI414" i="11"/>
  <c r="AH414" i="11"/>
  <c r="AI413" i="11"/>
  <c r="AH413" i="11"/>
  <c r="AI412" i="11"/>
  <c r="AH412" i="11"/>
  <c r="AI411" i="11"/>
  <c r="AH411" i="11"/>
  <c r="AI407" i="11"/>
  <c r="AH407" i="11"/>
  <c r="AI406" i="11"/>
  <c r="AH406" i="11"/>
  <c r="AI405" i="11"/>
  <c r="AH405" i="11"/>
  <c r="AI404" i="11"/>
  <c r="AH404" i="11"/>
  <c r="AI403" i="11"/>
  <c r="AH403" i="11"/>
  <c r="AI402" i="11"/>
  <c r="AH402" i="11"/>
  <c r="AI401" i="11"/>
  <c r="AH401" i="11"/>
  <c r="AI400" i="11"/>
  <c r="AH400" i="11"/>
  <c r="AI399" i="11"/>
  <c r="AH399" i="11"/>
  <c r="AI398" i="11"/>
  <c r="AH398" i="11"/>
  <c r="AI397" i="11"/>
  <c r="AH397" i="11"/>
  <c r="AI396" i="11"/>
  <c r="AH396" i="11"/>
  <c r="AI395" i="11"/>
  <c r="AH395" i="11"/>
  <c r="AI394" i="11"/>
  <c r="AH394" i="11"/>
  <c r="AI393" i="11"/>
  <c r="AH393" i="11"/>
  <c r="AI392" i="11"/>
  <c r="AH392" i="11"/>
  <c r="AI391" i="11"/>
  <c r="AH391" i="11"/>
  <c r="AI389" i="11"/>
  <c r="AH389" i="11"/>
  <c r="AI388" i="11"/>
  <c r="AH388" i="11"/>
  <c r="AI387" i="11"/>
  <c r="AH387" i="11"/>
  <c r="AI386" i="11"/>
  <c r="AH386" i="11"/>
  <c r="AI385" i="11"/>
  <c r="AH385" i="11"/>
  <c r="AI384" i="11"/>
  <c r="AH384" i="11"/>
  <c r="AI383" i="11"/>
  <c r="AH383" i="11"/>
  <c r="AI382" i="11"/>
  <c r="AH382" i="11"/>
  <c r="AI381" i="11"/>
  <c r="AH381" i="11"/>
  <c r="AI380" i="11"/>
  <c r="AH380" i="11"/>
  <c r="AI379" i="11"/>
  <c r="AH379" i="11"/>
  <c r="AI378" i="11"/>
  <c r="AH378" i="11"/>
  <c r="AI377" i="11"/>
  <c r="AH377" i="11"/>
  <c r="AI376" i="11"/>
  <c r="AH376" i="11"/>
  <c r="AI375" i="11"/>
  <c r="AH375" i="11"/>
  <c r="AI374" i="11"/>
  <c r="AH374" i="11"/>
  <c r="AI373" i="11"/>
  <c r="AH373" i="11"/>
  <c r="AI372" i="11"/>
  <c r="AH372" i="11"/>
  <c r="AI371" i="11"/>
  <c r="AH371" i="11"/>
  <c r="AI370" i="11"/>
  <c r="AH370" i="11"/>
  <c r="AI369" i="11"/>
  <c r="AH369" i="11"/>
  <c r="AI368" i="11"/>
  <c r="AH368" i="11"/>
  <c r="AI367" i="11"/>
  <c r="AH367" i="11"/>
  <c r="AI366" i="11"/>
  <c r="AH366" i="11"/>
  <c r="AI365" i="11"/>
  <c r="AH365" i="11"/>
  <c r="AI364" i="11"/>
  <c r="AH364" i="11"/>
  <c r="AI363" i="11"/>
  <c r="AH363" i="11"/>
  <c r="AI362" i="11"/>
  <c r="AH362" i="11"/>
  <c r="AI361" i="11"/>
  <c r="AH361" i="11"/>
  <c r="AI360" i="11"/>
  <c r="AH360" i="11"/>
  <c r="AI359" i="11"/>
  <c r="AH359" i="11"/>
  <c r="AI358" i="11"/>
  <c r="AH358" i="11"/>
  <c r="AI356" i="11"/>
  <c r="AH356" i="11"/>
  <c r="AI355" i="11"/>
  <c r="AH355" i="11"/>
  <c r="AI354" i="11"/>
  <c r="AH354" i="11"/>
  <c r="AI352" i="11"/>
  <c r="AH352" i="11"/>
  <c r="AI351" i="11"/>
  <c r="AH351" i="11"/>
  <c r="AI350" i="11"/>
  <c r="AH350" i="11"/>
  <c r="AI349" i="11"/>
  <c r="AH349" i="11"/>
  <c r="AI348" i="11"/>
  <c r="AH348" i="11"/>
  <c r="AI347" i="11"/>
  <c r="AH347" i="11"/>
  <c r="AI346" i="11"/>
  <c r="AH346" i="11"/>
  <c r="AI345" i="11"/>
  <c r="AH345" i="11"/>
  <c r="AI344" i="11"/>
  <c r="AH344" i="11"/>
  <c r="AI339" i="11"/>
  <c r="AH339" i="11"/>
  <c r="AI338" i="11"/>
  <c r="AH338" i="11"/>
  <c r="AI337" i="11"/>
  <c r="AH337" i="11"/>
  <c r="AI336" i="11"/>
  <c r="AH336" i="11"/>
  <c r="AI335" i="11"/>
  <c r="AH335" i="11"/>
  <c r="AI334" i="11"/>
  <c r="AH334" i="11"/>
  <c r="AI333" i="11"/>
  <c r="AH333" i="11"/>
  <c r="AI332" i="11"/>
  <c r="AH332" i="11"/>
  <c r="AI331" i="11"/>
  <c r="AH331" i="11"/>
  <c r="AI330" i="11"/>
  <c r="AH330" i="11"/>
  <c r="AI329" i="11"/>
  <c r="AH329" i="11"/>
  <c r="AI328" i="11"/>
  <c r="AH328" i="11"/>
  <c r="AI327" i="11"/>
  <c r="AH327" i="11"/>
  <c r="AI326" i="11"/>
  <c r="AH326" i="11"/>
  <c r="AI325" i="11"/>
  <c r="AH325" i="11"/>
  <c r="AI324" i="11"/>
  <c r="AH324" i="11"/>
  <c r="AI323" i="11"/>
  <c r="AH323" i="11"/>
  <c r="AI322" i="11"/>
  <c r="AH322" i="11"/>
  <c r="AI321" i="11"/>
  <c r="AH321" i="11"/>
  <c r="AI320" i="11"/>
  <c r="AH320" i="11"/>
  <c r="AI319" i="11"/>
  <c r="AH319" i="11"/>
  <c r="AI318" i="11"/>
  <c r="AH318" i="11"/>
  <c r="AI317" i="11"/>
  <c r="AH317" i="11"/>
  <c r="AI316" i="11"/>
  <c r="AH316" i="11"/>
  <c r="AI315" i="11"/>
  <c r="AH315" i="11"/>
  <c r="AI314" i="11"/>
  <c r="AH314" i="11"/>
  <c r="AI313" i="11"/>
  <c r="AH313" i="11"/>
  <c r="AI312" i="11"/>
  <c r="AH312" i="11"/>
  <c r="AI311" i="11"/>
  <c r="AH311" i="11"/>
  <c r="AI310" i="11"/>
  <c r="AH310" i="11"/>
  <c r="AI309" i="11"/>
  <c r="AH309" i="11"/>
  <c r="AI308" i="11"/>
  <c r="AH308" i="11"/>
  <c r="AI307" i="11"/>
  <c r="AH307" i="11"/>
  <c r="AI306" i="11"/>
  <c r="AH306" i="11"/>
  <c r="AI305" i="11"/>
  <c r="AH305" i="11"/>
  <c r="AI304" i="11"/>
  <c r="AH304" i="11"/>
  <c r="AI303" i="11"/>
  <c r="AH303" i="11"/>
  <c r="AI302" i="11"/>
  <c r="AH302" i="11"/>
  <c r="AI301" i="11"/>
  <c r="AH301" i="11"/>
  <c r="AI300" i="11"/>
  <c r="AH300" i="11"/>
  <c r="AI299" i="11"/>
  <c r="AH299" i="11"/>
  <c r="AI298" i="11"/>
  <c r="AH298" i="11"/>
  <c r="AI297" i="11"/>
  <c r="AH297" i="11"/>
  <c r="AI296" i="11"/>
  <c r="AH296" i="11"/>
  <c r="AI295" i="11"/>
  <c r="AH295" i="11"/>
  <c r="AI294" i="11"/>
  <c r="AH294" i="11"/>
  <c r="AI293" i="11"/>
  <c r="AH293" i="11"/>
  <c r="AI292" i="11"/>
  <c r="AH292" i="11"/>
  <c r="AI291" i="11"/>
  <c r="AH291" i="11"/>
  <c r="AI290" i="11"/>
  <c r="AH290" i="11"/>
  <c r="AI289" i="11"/>
  <c r="AH289" i="11"/>
  <c r="AI288" i="11"/>
  <c r="AH288" i="11"/>
  <c r="AI287" i="11"/>
  <c r="AH287" i="11"/>
  <c r="AI286" i="11"/>
  <c r="AH286" i="11"/>
  <c r="AI285" i="11"/>
  <c r="AH285" i="11"/>
  <c r="AI284" i="11"/>
  <c r="AH284" i="11"/>
  <c r="AI282" i="11"/>
  <c r="AH282" i="11"/>
  <c r="AI281" i="11"/>
  <c r="AH281" i="11"/>
  <c r="AI280" i="11"/>
  <c r="AH280" i="11"/>
  <c r="AI279" i="11"/>
  <c r="AH279" i="11"/>
  <c r="AI278" i="11"/>
  <c r="AH278" i="11"/>
  <c r="AI277" i="11"/>
  <c r="AH277" i="11"/>
  <c r="AI273" i="11"/>
  <c r="AH273" i="11"/>
  <c r="AI272" i="11"/>
  <c r="AH272" i="11"/>
  <c r="AI271" i="11"/>
  <c r="AH271" i="11"/>
  <c r="AI270" i="11"/>
  <c r="AH270" i="11"/>
  <c r="AI269" i="11"/>
  <c r="AH269" i="11"/>
  <c r="AI268" i="11"/>
  <c r="AH268" i="11"/>
  <c r="AI267" i="11"/>
  <c r="AH267" i="11"/>
  <c r="AI266" i="11"/>
  <c r="AH266" i="11"/>
  <c r="AI265" i="11"/>
  <c r="AH265" i="11"/>
  <c r="AI264" i="11"/>
  <c r="AH264" i="11"/>
  <c r="AI263" i="11"/>
  <c r="AH263" i="11"/>
  <c r="AI262" i="11"/>
  <c r="AH262" i="11"/>
  <c r="AI261" i="11"/>
  <c r="AH261" i="11"/>
  <c r="AI260" i="11"/>
  <c r="AH260" i="11"/>
  <c r="AI259" i="11"/>
  <c r="AH259" i="11"/>
  <c r="AI258" i="11"/>
  <c r="AH258" i="11"/>
  <c r="AI257" i="11"/>
  <c r="AH257" i="11"/>
  <c r="AI256" i="11"/>
  <c r="AH256" i="11"/>
  <c r="AI255" i="11"/>
  <c r="AH255" i="11"/>
  <c r="AI254" i="11"/>
  <c r="AH254" i="11"/>
  <c r="AI253" i="11"/>
  <c r="AH253" i="11"/>
  <c r="AI252" i="11"/>
  <c r="AH252" i="11"/>
  <c r="AI251" i="11"/>
  <c r="AH251" i="11"/>
  <c r="AI250" i="11"/>
  <c r="AH250" i="11"/>
  <c r="AI249" i="11"/>
  <c r="AH249" i="11"/>
  <c r="AI248" i="11"/>
  <c r="AH248" i="11"/>
  <c r="AI247" i="11"/>
  <c r="AH247" i="11"/>
  <c r="AI246" i="11"/>
  <c r="AH246" i="11"/>
  <c r="AI245" i="11"/>
  <c r="AH245" i="11"/>
  <c r="AI244" i="11"/>
  <c r="AH244" i="11"/>
  <c r="AI243" i="11"/>
  <c r="AH243" i="11"/>
  <c r="AI242" i="11"/>
  <c r="AH242" i="11"/>
  <c r="AI241" i="11"/>
  <c r="AH241" i="11"/>
  <c r="AI240" i="11"/>
  <c r="AH240" i="11"/>
  <c r="AI239" i="11"/>
  <c r="AH239" i="11"/>
  <c r="AI238" i="11"/>
  <c r="AH238" i="11"/>
  <c r="AI237" i="11"/>
  <c r="AH237" i="11"/>
  <c r="AI236" i="11"/>
  <c r="AH236" i="11"/>
  <c r="AI235" i="11"/>
  <c r="AH235" i="11"/>
  <c r="AI234" i="11"/>
  <c r="AH234" i="11"/>
  <c r="AI233" i="11"/>
  <c r="AH233" i="11"/>
  <c r="AI231" i="11"/>
  <c r="AH231" i="11"/>
  <c r="AI230" i="11"/>
  <c r="AH230" i="11"/>
  <c r="AI229" i="11"/>
  <c r="AH229" i="11"/>
  <c r="AI228" i="11"/>
  <c r="AH228" i="11"/>
  <c r="AI227" i="11"/>
  <c r="AH227" i="11"/>
  <c r="AI226" i="11"/>
  <c r="AH226" i="11"/>
  <c r="AI225" i="11"/>
  <c r="AH225" i="11"/>
  <c r="AI224" i="11"/>
  <c r="AH224" i="11"/>
  <c r="AI223" i="11"/>
  <c r="AH223" i="11"/>
  <c r="AI222" i="11"/>
  <c r="AH222" i="11"/>
  <c r="AI221" i="11"/>
  <c r="AH221" i="11"/>
  <c r="AI220" i="11"/>
  <c r="AH220" i="11"/>
  <c r="AI219" i="11"/>
  <c r="AH219" i="11"/>
  <c r="AI218" i="11"/>
  <c r="AH218" i="11"/>
  <c r="AI217" i="11"/>
  <c r="AH217" i="11"/>
  <c r="AI216" i="11"/>
  <c r="AH216" i="11"/>
  <c r="AI214" i="11"/>
  <c r="AH214" i="11"/>
  <c r="AI213" i="11"/>
  <c r="AH213" i="11"/>
  <c r="AI212" i="11"/>
  <c r="AH212" i="11"/>
  <c r="AI211" i="11"/>
  <c r="AH211" i="11"/>
  <c r="AI206" i="11"/>
  <c r="AH206" i="11"/>
  <c r="AI205" i="11"/>
  <c r="AH205" i="11"/>
  <c r="AI204" i="11"/>
  <c r="AH204" i="11"/>
  <c r="AI203" i="11"/>
  <c r="AH203" i="11"/>
  <c r="AI202" i="11"/>
  <c r="AH202" i="11"/>
  <c r="AI201" i="11"/>
  <c r="AH201" i="11"/>
  <c r="AI200" i="11"/>
  <c r="AH200" i="11"/>
  <c r="AI199" i="11"/>
  <c r="AH199" i="11"/>
  <c r="AI198" i="11"/>
  <c r="AH198" i="11"/>
  <c r="AI197" i="11"/>
  <c r="AH197" i="11"/>
  <c r="AI196" i="11"/>
  <c r="AH196" i="11"/>
  <c r="AI195" i="11"/>
  <c r="AH195" i="11"/>
  <c r="AI194" i="11"/>
  <c r="AH194" i="11"/>
  <c r="AI193" i="11"/>
  <c r="AH193" i="11"/>
  <c r="AI192" i="11"/>
  <c r="AH192" i="11"/>
  <c r="AI191" i="11"/>
  <c r="AH191" i="11"/>
  <c r="AI190" i="11"/>
  <c r="AH190" i="11"/>
  <c r="AI189" i="11"/>
  <c r="AH189" i="11"/>
  <c r="AI188" i="11"/>
  <c r="AH188" i="11"/>
  <c r="AI187" i="11"/>
  <c r="AH187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5" i="11"/>
  <c r="AH155" i="11"/>
  <c r="AI154" i="11"/>
  <c r="AH154" i="11"/>
  <c r="AI152" i="11"/>
  <c r="AH152" i="11"/>
  <c r="AI151" i="11"/>
  <c r="AH151" i="11"/>
  <c r="AI150" i="11"/>
  <c r="AH150" i="11"/>
  <c r="AI149" i="1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39" i="11"/>
  <c r="AH139" i="11"/>
  <c r="AI138" i="11"/>
  <c r="AH138" i="11"/>
  <c r="AI137" i="11"/>
  <c r="AH137" i="11"/>
  <c r="AI136" i="11"/>
  <c r="AH136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89" i="11"/>
  <c r="AH89" i="11"/>
  <c r="AI88" i="11"/>
  <c r="AH88" i="11"/>
  <c r="AI87" i="11"/>
  <c r="AH87" i="11"/>
  <c r="AI86" i="11"/>
  <c r="AH86" i="11"/>
  <c r="AI85" i="11"/>
  <c r="AH85" i="11"/>
  <c r="AI83" i="11"/>
  <c r="AH83" i="11"/>
  <c r="AI82" i="11"/>
  <c r="AH82" i="11"/>
  <c r="AI81" i="11"/>
  <c r="AH81" i="11"/>
  <c r="AI80" i="11"/>
  <c r="AH80" i="11"/>
  <c r="AI79" i="11"/>
  <c r="AH79" i="11"/>
  <c r="AI77" i="11"/>
  <c r="AH77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9" i="11"/>
  <c r="AH9" i="11"/>
  <c r="S667" i="11" l="1"/>
  <c r="E650" i="11"/>
  <c r="O646" i="11"/>
  <c r="S637" i="11"/>
  <c r="E637" i="11"/>
  <c r="O631" i="11"/>
  <c r="O578" i="11"/>
  <c r="S513" i="11"/>
  <c r="E473" i="11"/>
  <c r="S464" i="11"/>
  <c r="S452" i="11"/>
  <c r="S390" i="11"/>
  <c r="I390" i="11"/>
  <c r="S357" i="11"/>
  <c r="O357" i="11"/>
  <c r="M357" i="11"/>
  <c r="E357" i="11"/>
  <c r="I353" i="11"/>
  <c r="E353" i="11"/>
  <c r="O340" i="11"/>
  <c r="E340" i="11"/>
  <c r="O232" i="11"/>
  <c r="I232" i="11"/>
  <c r="O215" i="11"/>
  <c r="S210" i="11"/>
  <c r="O186" i="11"/>
  <c r="I186" i="11"/>
  <c r="E186" i="11"/>
  <c r="O177" i="11"/>
  <c r="I156" i="11"/>
  <c r="S153" i="11"/>
  <c r="O153" i="11"/>
  <c r="S135" i="11"/>
  <c r="I128" i="11"/>
  <c r="O110" i="11"/>
  <c r="S109" i="11"/>
  <c r="O109" i="11"/>
  <c r="E109" i="11"/>
  <c r="S90" i="11"/>
  <c r="E90" i="11"/>
  <c r="S84" i="11"/>
  <c r="O84" i="11"/>
  <c r="S78" i="11"/>
  <c r="O78" i="11"/>
  <c r="E78" i="11"/>
  <c r="S76" i="11"/>
  <c r="S52" i="11"/>
  <c r="I10" i="11"/>
  <c r="AI215" i="11" l="1"/>
  <c r="AH215" i="11"/>
  <c r="AI52" i="11"/>
  <c r="AH52" i="11"/>
  <c r="AI353" i="11"/>
  <c r="AH353" i="11"/>
  <c r="AI452" i="11"/>
  <c r="AH452" i="11"/>
  <c r="AI578" i="11"/>
  <c r="AH578" i="11"/>
  <c r="AI76" i="11"/>
  <c r="AH76" i="11"/>
  <c r="AI109" i="11"/>
  <c r="AH109" i="11"/>
  <c r="AI128" i="11"/>
  <c r="AH128" i="11"/>
  <c r="AH156" i="11"/>
  <c r="AI156" i="11"/>
  <c r="AI464" i="11"/>
  <c r="AH464" i="11"/>
  <c r="AH631" i="11"/>
  <c r="AI631" i="11"/>
  <c r="AI650" i="11"/>
  <c r="AH650" i="11"/>
  <c r="AI10" i="11"/>
  <c r="AH10" i="11"/>
  <c r="AI90" i="11"/>
  <c r="AH90" i="11"/>
  <c r="AH153" i="11"/>
  <c r="AI153" i="11"/>
  <c r="AI186" i="11"/>
  <c r="AH186" i="11"/>
  <c r="AI513" i="11"/>
  <c r="AH513" i="11"/>
  <c r="AH110" i="11"/>
  <c r="AI110" i="11"/>
  <c r="AI232" i="11"/>
  <c r="AH232" i="11"/>
  <c r="AI646" i="11"/>
  <c r="AH646" i="11"/>
  <c r="AI84" i="11"/>
  <c r="AH84" i="11"/>
  <c r="AI78" i="11"/>
  <c r="AH78" i="11"/>
  <c r="AI135" i="11"/>
  <c r="AH135" i="11"/>
  <c r="AI177" i="11"/>
  <c r="AH177" i="11"/>
  <c r="AH210" i="11"/>
  <c r="AI210" i="11"/>
  <c r="AI340" i="11"/>
  <c r="AH340" i="11"/>
  <c r="AI357" i="11"/>
  <c r="AH357" i="11"/>
  <c r="AI390" i="11"/>
  <c r="AH390" i="11"/>
  <c r="AI473" i="11"/>
  <c r="AH473" i="11"/>
  <c r="AI637" i="11"/>
  <c r="AH637" i="11"/>
  <c r="AI667" i="11"/>
  <c r="AH667" i="11"/>
  <c r="AN562" i="10"/>
  <c r="AO562" i="10"/>
  <c r="AN563" i="10"/>
  <c r="AO563" i="10" s="1"/>
  <c r="AN564" i="10"/>
  <c r="AO564" i="10" s="1"/>
  <c r="AN565" i="10"/>
  <c r="AN566" i="10"/>
  <c r="AO566" i="10" s="1"/>
  <c r="AN567" i="10"/>
  <c r="AO567" i="10" s="1"/>
  <c r="AN568" i="10"/>
  <c r="AN569" i="10"/>
  <c r="AO569" i="10" s="1"/>
  <c r="AN570" i="10"/>
  <c r="AO570" i="10" s="1"/>
  <c r="AN571" i="10"/>
  <c r="AO571" i="10" s="1"/>
  <c r="AN572" i="10"/>
  <c r="AO572" i="10" s="1"/>
  <c r="AN573" i="10"/>
  <c r="AN574" i="10"/>
  <c r="AO574" i="10" s="1"/>
  <c r="AN575" i="10"/>
  <c r="AO575" i="10" s="1"/>
  <c r="AN576" i="10"/>
  <c r="AO576" i="10" s="1"/>
  <c r="AN577" i="10"/>
  <c r="AO577" i="10" s="1"/>
  <c r="AN578" i="10"/>
  <c r="AO578" i="10" s="1"/>
  <c r="AN579" i="10"/>
  <c r="AO579" i="10" s="1"/>
  <c r="AN580" i="10"/>
  <c r="AO580" i="10" s="1"/>
  <c r="AN581" i="10"/>
  <c r="AO581" i="10" s="1"/>
  <c r="AN582" i="10"/>
  <c r="AO582" i="10" s="1"/>
  <c r="AN583" i="10"/>
  <c r="AO583" i="10" s="1"/>
  <c r="AN584" i="10"/>
  <c r="AO584" i="10" s="1"/>
  <c r="AN585" i="10"/>
  <c r="AO585" i="10" s="1"/>
  <c r="AN586" i="10"/>
  <c r="AO586" i="10" s="1"/>
  <c r="AN587" i="10"/>
  <c r="AO587" i="10" s="1"/>
  <c r="AN588" i="10"/>
  <c r="AO588" i="10" s="1"/>
  <c r="AN589" i="10"/>
  <c r="AO589" i="10" s="1"/>
  <c r="AN590" i="10"/>
  <c r="AO590" i="10" s="1"/>
  <c r="AN594" i="10"/>
  <c r="AO594" i="10" s="1"/>
  <c r="AN595" i="10"/>
  <c r="AO595" i="10" s="1"/>
  <c r="AO596" i="10"/>
  <c r="AN596" i="10"/>
  <c r="AN597" i="10"/>
  <c r="AO597" i="10" s="1"/>
  <c r="AN598" i="10"/>
  <c r="AO598" i="10" s="1"/>
  <c r="AN599" i="10"/>
  <c r="AO599" i="10" s="1"/>
  <c r="AN600" i="10"/>
  <c r="AO600" i="10" s="1"/>
  <c r="AN601" i="10"/>
  <c r="AO601" i="10" s="1"/>
  <c r="AN602" i="10"/>
  <c r="AO602" i="10" s="1"/>
  <c r="AN603" i="10"/>
  <c r="AO603" i="10" s="1"/>
  <c r="AN604" i="10"/>
  <c r="AO604" i="10" s="1"/>
  <c r="AN605" i="10"/>
  <c r="AO605" i="10" s="1"/>
  <c r="AN606" i="10"/>
  <c r="AO606" i="10" s="1"/>
  <c r="AO607" i="10"/>
  <c r="AN607" i="10"/>
  <c r="AN608" i="10"/>
  <c r="AO608" i="10" s="1"/>
  <c r="AN609" i="10"/>
  <c r="AO609" i="10" s="1"/>
  <c r="AN610" i="10"/>
  <c r="AO610" i="10" s="1"/>
  <c r="AN611" i="10"/>
  <c r="AO611" i="10" s="1"/>
  <c r="AN612" i="10"/>
  <c r="AO612" i="10" s="1"/>
  <c r="AN613" i="10"/>
  <c r="AO613" i="10" s="1"/>
  <c r="AN614" i="10"/>
  <c r="AO614" i="10" s="1"/>
  <c r="AN615" i="10"/>
  <c r="AO615" i="10" s="1"/>
  <c r="AN616" i="10"/>
  <c r="AO616" i="10" s="1"/>
  <c r="AN617" i="10"/>
  <c r="AO617" i="10" s="1"/>
  <c r="AN618" i="10"/>
  <c r="AO618" i="10" s="1"/>
  <c r="AN619" i="10"/>
  <c r="AO619" i="10" s="1"/>
  <c r="AN620" i="10"/>
  <c r="AO620" i="10" s="1"/>
  <c r="AN621" i="10"/>
  <c r="AO621" i="10" s="1"/>
  <c r="AN622" i="10"/>
  <c r="AO622" i="10" s="1"/>
  <c r="AN623" i="10"/>
  <c r="AO623" i="10" s="1"/>
  <c r="AN624" i="10"/>
  <c r="AO624" i="10" s="1"/>
  <c r="AN625" i="10"/>
  <c r="AO625" i="10" s="1"/>
  <c r="AN626" i="10"/>
  <c r="AO626" i="10" s="1"/>
  <c r="AN627" i="10"/>
  <c r="AO627" i="10" s="1"/>
  <c r="AN628" i="10"/>
  <c r="AO628" i="10" s="1"/>
  <c r="AN629" i="10"/>
  <c r="AO629" i="10" s="1"/>
  <c r="AN630" i="10"/>
  <c r="AO630" i="10" s="1"/>
  <c r="AN631" i="10"/>
  <c r="AO631" i="10" s="1"/>
  <c r="AN632" i="10"/>
  <c r="AO632" i="10" s="1"/>
  <c r="AO633" i="10"/>
  <c r="AN633" i="10"/>
  <c r="AN634" i="10"/>
  <c r="AO634" i="10" s="1"/>
  <c r="AN635" i="10"/>
  <c r="AO635" i="10" s="1"/>
  <c r="AN636" i="10"/>
  <c r="AO636" i="10" s="1"/>
  <c r="AN637" i="10"/>
  <c r="AO637" i="10" s="1"/>
  <c r="AN638" i="10"/>
  <c r="AO638" i="10" s="1"/>
  <c r="AO639" i="10"/>
  <c r="AN639" i="10"/>
  <c r="AN640" i="10"/>
  <c r="AO640" i="10" s="1"/>
  <c r="AN641" i="10"/>
  <c r="AO641" i="10" s="1"/>
  <c r="AN642" i="10"/>
  <c r="AO642" i="10" s="1"/>
  <c r="AO643" i="10"/>
  <c r="AN643" i="10"/>
  <c r="AN644" i="10"/>
  <c r="AO644" i="10" s="1"/>
  <c r="AN645" i="10"/>
  <c r="AO645" i="10" s="1"/>
  <c r="AN646" i="10"/>
  <c r="AO646" i="10" s="1"/>
  <c r="AN647" i="10"/>
  <c r="AO647" i="10" s="1"/>
  <c r="AN648" i="10"/>
  <c r="AO648" i="10" s="1"/>
  <c r="AN649" i="10"/>
  <c r="AO649" i="10" s="1"/>
  <c r="AN650" i="10"/>
  <c r="AO650" i="10" s="1"/>
  <c r="AN651" i="10"/>
  <c r="AO651" i="10" s="1"/>
  <c r="AN652" i="10"/>
  <c r="AO652" i="10" s="1"/>
  <c r="AN653" i="10"/>
  <c r="AO653" i="10" s="1"/>
  <c r="AN654" i="10"/>
  <c r="AO654" i="10" s="1"/>
  <c r="AN655" i="10"/>
  <c r="AO655" i="10" s="1"/>
  <c r="AO659" i="10"/>
  <c r="AN659" i="10"/>
  <c r="AN660" i="10"/>
  <c r="AO660" i="10" s="1"/>
  <c r="AN661" i="10"/>
  <c r="AO661" i="10" s="1"/>
  <c r="AN662" i="10"/>
  <c r="AO662" i="10" s="1"/>
  <c r="AN663" i="10"/>
  <c r="AO663" i="10" s="1"/>
  <c r="AN664" i="10"/>
  <c r="AO664" i="10" s="1"/>
  <c r="AN665" i="10"/>
  <c r="AO665" i="10" s="1"/>
  <c r="AN666" i="10"/>
  <c r="AO666" i="10" s="1"/>
  <c r="AN667" i="10"/>
  <c r="AO667" i="10" s="1"/>
  <c r="AN668" i="10"/>
  <c r="AO668" i="10" s="1"/>
  <c r="AN669" i="10"/>
  <c r="AO669" i="10" s="1"/>
  <c r="AN670" i="10"/>
  <c r="AO670" i="10" s="1"/>
  <c r="AN671" i="10"/>
  <c r="AO671" i="10" s="1"/>
  <c r="AN672" i="10"/>
  <c r="AO672" i="10" s="1"/>
  <c r="AN673" i="10"/>
  <c r="AO673" i="10" s="1"/>
  <c r="AN674" i="10"/>
  <c r="AO674" i="10" s="1"/>
  <c r="AN675" i="10"/>
  <c r="AO675" i="10" s="1"/>
  <c r="AN676" i="10"/>
  <c r="AO676" i="10" s="1"/>
  <c r="AN677" i="10"/>
  <c r="AO677" i="10" s="1"/>
  <c r="AO678" i="10"/>
  <c r="AN678" i="10"/>
  <c r="AN679" i="10"/>
  <c r="AO679" i="10" s="1"/>
  <c r="AN680" i="10"/>
  <c r="AO680" i="10" s="1"/>
  <c r="AN681" i="10"/>
  <c r="AO681" i="10" s="1"/>
  <c r="AN10" i="10"/>
  <c r="AO10" i="10" s="1"/>
  <c r="AN11" i="10"/>
  <c r="AO11" i="10" s="1"/>
  <c r="AN12" i="10"/>
  <c r="AO12" i="10" s="1"/>
  <c r="AN13" i="10"/>
  <c r="AN14" i="10"/>
  <c r="AN15" i="10"/>
  <c r="AO15" i="10" s="1"/>
  <c r="AN16" i="10"/>
  <c r="AN17" i="10"/>
  <c r="AN18" i="10"/>
  <c r="AO18" i="10" s="1"/>
  <c r="AN19" i="10"/>
  <c r="AO19" i="10" s="1"/>
  <c r="AN20" i="10"/>
  <c r="AN21" i="10"/>
  <c r="AN22" i="10"/>
  <c r="AN23" i="10"/>
  <c r="AO23" i="10" s="1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O35" i="10" s="1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O55" i="10" s="1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4" i="10"/>
  <c r="AN75" i="10"/>
  <c r="AN76" i="10"/>
  <c r="AN77" i="10"/>
  <c r="AO77" i="10" s="1"/>
  <c r="AN78" i="10"/>
  <c r="AN79" i="10"/>
  <c r="AN80" i="10"/>
  <c r="AN81" i="10"/>
  <c r="AN82" i="10"/>
  <c r="AO82" i="10" s="1"/>
  <c r="AN83" i="10"/>
  <c r="AN84" i="10"/>
  <c r="AN85" i="10"/>
  <c r="AO85" i="10" s="1"/>
  <c r="AN86" i="10"/>
  <c r="AO86" i="10" s="1"/>
  <c r="AN87" i="10"/>
  <c r="AN88" i="10"/>
  <c r="AN89" i="10"/>
  <c r="AN90" i="10"/>
  <c r="AO90" i="10" s="1"/>
  <c r="AN91" i="10"/>
  <c r="AN92" i="10"/>
  <c r="AN93" i="10"/>
  <c r="AN94" i="10"/>
  <c r="AN95" i="10"/>
  <c r="AN96" i="10"/>
  <c r="AO96" i="10" s="1"/>
  <c r="AN97" i="10"/>
  <c r="AN98" i="10"/>
  <c r="AO98" i="10" s="1"/>
  <c r="AN99" i="10"/>
  <c r="AN100" i="10"/>
  <c r="AN101" i="10"/>
  <c r="AN102" i="10"/>
  <c r="AO102" i="10" s="1"/>
  <c r="AN103" i="10"/>
  <c r="AN104" i="10"/>
  <c r="AN105" i="10"/>
  <c r="AN106" i="10"/>
  <c r="AN107" i="10"/>
  <c r="AN108" i="10"/>
  <c r="AN109" i="10"/>
  <c r="AN110" i="10"/>
  <c r="AO110" i="10" s="1"/>
  <c r="AN111" i="10"/>
  <c r="AN112" i="10"/>
  <c r="AN113" i="10"/>
  <c r="AN114" i="10"/>
  <c r="AN115" i="10"/>
  <c r="AN116" i="10"/>
  <c r="AN117" i="10"/>
  <c r="AO117" i="10" s="1"/>
  <c r="AN118" i="10"/>
  <c r="AN119" i="10"/>
  <c r="AN120" i="10"/>
  <c r="AN121" i="10"/>
  <c r="AN122" i="10"/>
  <c r="AO122" i="10" s="1"/>
  <c r="AN123" i="10"/>
  <c r="AO123" i="10" s="1"/>
  <c r="AN124" i="10"/>
  <c r="AN125" i="10"/>
  <c r="AO125" i="10" s="1"/>
  <c r="AN126" i="10"/>
  <c r="AN127" i="10"/>
  <c r="AN128" i="10"/>
  <c r="AN129" i="10"/>
  <c r="AN130" i="10"/>
  <c r="AN131" i="10"/>
  <c r="AN132" i="10"/>
  <c r="AN133" i="10"/>
  <c r="AN134" i="10"/>
  <c r="AN135" i="10"/>
  <c r="AN139" i="10"/>
  <c r="AN140" i="10"/>
  <c r="AN141" i="10"/>
  <c r="AN142" i="10"/>
  <c r="AN143" i="10"/>
  <c r="AN144" i="10"/>
  <c r="AO144" i="10" s="1"/>
  <c r="AN145" i="10"/>
  <c r="AN146" i="10"/>
  <c r="AN147" i="10"/>
  <c r="AN148" i="10"/>
  <c r="AN149" i="10"/>
  <c r="AO149" i="10" s="1"/>
  <c r="AN150" i="10"/>
  <c r="AN151" i="10"/>
  <c r="AN152" i="10"/>
  <c r="AN153" i="10"/>
  <c r="AN154" i="10"/>
  <c r="AN155" i="10"/>
  <c r="AN156" i="10"/>
  <c r="AN157" i="10"/>
  <c r="AN158" i="10"/>
  <c r="AN159" i="10"/>
  <c r="AN160" i="10"/>
  <c r="AN161" i="10"/>
  <c r="AN162" i="10"/>
  <c r="AN163" i="10"/>
  <c r="AO163" i="10" s="1"/>
  <c r="AN164" i="10"/>
  <c r="AN165" i="10"/>
  <c r="AO165" i="10" s="1"/>
  <c r="AN166" i="10"/>
  <c r="AN167" i="10"/>
  <c r="AN168" i="10"/>
  <c r="AN169" i="10"/>
  <c r="AO169" i="10" s="1"/>
  <c r="AN170" i="10"/>
  <c r="AN171" i="10"/>
  <c r="AN172" i="10"/>
  <c r="AN173" i="10"/>
  <c r="AN174" i="10"/>
  <c r="AN175" i="10"/>
  <c r="AN176" i="10"/>
  <c r="AO176" i="10" s="1"/>
  <c r="AN177" i="10"/>
  <c r="AO177" i="10" s="1"/>
  <c r="AN178" i="10"/>
  <c r="AO178" i="10" s="1"/>
  <c r="AN179" i="10"/>
  <c r="AN180" i="10"/>
  <c r="AN181" i="10"/>
  <c r="AO181" i="10" s="1"/>
  <c r="AN182" i="10"/>
  <c r="AN183" i="10"/>
  <c r="AN184" i="10"/>
  <c r="AO184" i="10" s="1"/>
  <c r="AN185" i="10"/>
  <c r="AO185" i="10" s="1"/>
  <c r="AN186" i="10"/>
  <c r="AN187" i="10"/>
  <c r="AN188" i="10"/>
  <c r="AN189" i="10"/>
  <c r="AO189" i="10" s="1"/>
  <c r="AN190" i="10"/>
  <c r="AN191" i="10"/>
  <c r="AN192" i="10"/>
  <c r="AN193" i="10"/>
  <c r="AN194" i="10"/>
  <c r="AN195" i="10"/>
  <c r="AN196" i="10"/>
  <c r="AN197" i="10"/>
  <c r="AN198" i="10"/>
  <c r="AN199" i="10"/>
  <c r="AN200" i="10"/>
  <c r="AN204" i="10"/>
  <c r="AN205" i="10"/>
  <c r="AN206" i="10"/>
  <c r="AN207" i="10"/>
  <c r="AN208" i="10"/>
  <c r="AN209" i="10"/>
  <c r="AN210" i="10"/>
  <c r="AN211" i="10"/>
  <c r="AN212" i="10"/>
  <c r="AO212" i="10" s="1"/>
  <c r="AN213" i="10"/>
  <c r="AN214" i="10"/>
  <c r="AN215" i="10"/>
  <c r="AN216" i="10"/>
  <c r="AN217" i="10"/>
  <c r="AN218" i="10"/>
  <c r="AN219" i="10"/>
  <c r="AO219" i="10" s="1"/>
  <c r="AN220" i="10"/>
  <c r="AN221" i="10"/>
  <c r="AN222" i="10"/>
  <c r="AN223" i="10"/>
  <c r="AN224" i="10"/>
  <c r="AO224" i="10" s="1"/>
  <c r="AN225" i="10"/>
  <c r="AO225" i="10" s="1"/>
  <c r="AN226" i="10"/>
  <c r="AN227" i="10"/>
  <c r="AO227" i="10" s="1"/>
  <c r="AN228" i="10"/>
  <c r="AN229" i="10"/>
  <c r="AN230" i="10"/>
  <c r="AN231" i="10"/>
  <c r="AN232" i="10"/>
  <c r="AN233" i="10"/>
  <c r="AN234" i="10"/>
  <c r="AN235" i="10"/>
  <c r="AN236" i="10"/>
  <c r="AN237" i="10"/>
  <c r="AN238" i="10"/>
  <c r="AN239" i="10"/>
  <c r="AN240" i="10"/>
  <c r="AN241" i="10"/>
  <c r="AN242" i="10"/>
  <c r="AN243" i="10"/>
  <c r="AO243" i="10" s="1"/>
  <c r="AN244" i="10"/>
  <c r="AN245" i="10"/>
  <c r="AN246" i="10"/>
  <c r="AN247" i="10"/>
  <c r="AN248" i="10"/>
  <c r="AO248" i="10" s="1"/>
  <c r="AN249" i="10"/>
  <c r="AN250" i="10"/>
  <c r="AN251" i="10"/>
  <c r="AO251" i="10" s="1"/>
  <c r="AN252" i="10"/>
  <c r="AN253" i="10"/>
  <c r="AN254" i="10"/>
  <c r="AN255" i="10"/>
  <c r="AN256" i="10"/>
  <c r="AN257" i="10"/>
  <c r="AN258" i="10"/>
  <c r="AN259" i="10"/>
  <c r="AN260" i="10"/>
  <c r="AN261" i="10"/>
  <c r="AN262" i="10"/>
  <c r="AO262" i="10" s="1"/>
  <c r="AN263" i="10"/>
  <c r="AN264" i="10"/>
  <c r="AO264" i="10" s="1"/>
  <c r="AN265" i="10"/>
  <c r="AN269" i="10"/>
  <c r="AN270" i="10"/>
  <c r="AN271" i="10"/>
  <c r="AN272" i="10"/>
  <c r="AN273" i="10"/>
  <c r="AO273" i="10" s="1"/>
  <c r="AN274" i="10"/>
  <c r="AN275" i="10"/>
  <c r="AO275" i="10" s="1"/>
  <c r="AN276" i="10"/>
  <c r="AN277" i="10"/>
  <c r="AN278" i="10"/>
  <c r="AO278" i="10" s="1"/>
  <c r="AN279" i="10"/>
  <c r="AO279" i="10" s="1"/>
  <c r="AN280" i="10"/>
  <c r="AO280" i="10" s="1"/>
  <c r="AN281" i="10"/>
  <c r="AN282" i="10"/>
  <c r="AN283" i="10"/>
  <c r="AO283" i="10" s="1"/>
  <c r="AN284" i="10"/>
  <c r="AN285" i="10"/>
  <c r="AN286" i="10"/>
  <c r="AO286" i="10" s="1"/>
  <c r="AN287" i="10"/>
  <c r="AO287" i="10" s="1"/>
  <c r="AN288" i="10"/>
  <c r="AN289" i="10"/>
  <c r="AN290" i="10"/>
  <c r="AN291" i="10"/>
  <c r="AO291" i="10" s="1"/>
  <c r="AN292" i="10"/>
  <c r="AO292" i="10" s="1"/>
  <c r="AN293" i="10"/>
  <c r="AN294" i="10"/>
  <c r="AO294" i="10" s="1"/>
  <c r="AN295" i="10"/>
  <c r="AN296" i="10"/>
  <c r="AN297" i="10"/>
  <c r="AN298" i="10"/>
  <c r="AN299" i="10"/>
  <c r="AN300" i="10"/>
  <c r="AN301" i="10"/>
  <c r="AN302" i="10"/>
  <c r="AN303" i="10"/>
  <c r="AO303" i="10" s="1"/>
  <c r="AN304" i="10"/>
  <c r="AN305" i="10"/>
  <c r="AN306" i="10"/>
  <c r="AN307" i="10"/>
  <c r="AN308" i="10"/>
  <c r="AN309" i="10"/>
  <c r="AN310" i="10"/>
  <c r="AN311" i="10"/>
  <c r="AN312" i="10"/>
  <c r="AN313" i="10"/>
  <c r="AN314" i="10"/>
  <c r="AN315" i="10"/>
  <c r="AN316" i="10"/>
  <c r="AN317" i="10"/>
  <c r="AN318" i="10"/>
  <c r="AN319" i="10"/>
  <c r="AN320" i="10"/>
  <c r="AN321" i="10"/>
  <c r="AN322" i="10"/>
  <c r="AN323" i="10"/>
  <c r="AO323" i="10" s="1"/>
  <c r="AN324" i="10"/>
  <c r="AN325" i="10"/>
  <c r="AN326" i="10"/>
  <c r="AO326" i="10" s="1"/>
  <c r="AN327" i="10"/>
  <c r="AN328" i="10"/>
  <c r="AN329" i="10"/>
  <c r="AN330" i="10"/>
  <c r="AO330" i="10" s="1"/>
  <c r="AN334" i="10"/>
  <c r="AN335" i="10"/>
  <c r="AN336" i="10"/>
  <c r="AN337" i="10"/>
  <c r="AN338" i="10"/>
  <c r="AN339" i="10"/>
  <c r="AN340" i="10"/>
  <c r="AO340" i="10" s="1"/>
  <c r="AN341" i="10"/>
  <c r="AN342" i="10"/>
  <c r="AO342" i="10" s="1"/>
  <c r="AN343" i="10"/>
  <c r="AN344" i="10"/>
  <c r="AO344" i="10" s="1"/>
  <c r="AN345" i="10"/>
  <c r="AN346" i="10"/>
  <c r="AN347" i="10"/>
  <c r="AN348" i="10"/>
  <c r="AN349" i="10"/>
  <c r="AN350" i="10"/>
  <c r="AN351" i="10"/>
  <c r="AN352" i="10"/>
  <c r="AN353" i="10"/>
  <c r="AN354" i="10"/>
  <c r="AN355" i="10"/>
  <c r="AN356" i="10"/>
  <c r="AN357" i="10"/>
  <c r="AN358" i="10"/>
  <c r="AN359" i="10"/>
  <c r="AO359" i="10" s="1"/>
  <c r="AN360" i="10"/>
  <c r="AN361" i="10"/>
  <c r="AN362" i="10"/>
  <c r="AN363" i="10"/>
  <c r="AO363" i="10" s="1"/>
  <c r="AN364" i="10"/>
  <c r="AN365" i="10"/>
  <c r="AO365" i="10" s="1"/>
  <c r="AN366" i="10"/>
  <c r="AN367" i="10"/>
  <c r="AN368" i="10"/>
  <c r="AN369" i="10"/>
  <c r="AO369" i="10" s="1"/>
  <c r="AN370" i="10"/>
  <c r="AN371" i="10"/>
  <c r="AO371" i="10" s="1"/>
  <c r="AN372" i="10"/>
  <c r="AN373" i="10"/>
  <c r="AO373" i="10" s="1"/>
  <c r="AN374" i="10"/>
  <c r="AN375" i="10"/>
  <c r="AN376" i="10"/>
  <c r="AO376" i="10" s="1"/>
  <c r="AN377" i="10"/>
  <c r="AO377" i="10" s="1"/>
  <c r="AN378" i="10"/>
  <c r="AO378" i="10" s="1"/>
  <c r="AN379" i="10"/>
  <c r="AN380" i="10"/>
  <c r="AN381" i="10"/>
  <c r="AO381" i="10" s="1"/>
  <c r="AN382" i="10"/>
  <c r="AN383" i="10"/>
  <c r="AN384" i="10"/>
  <c r="AO384" i="10" s="1"/>
  <c r="AN385" i="10"/>
  <c r="AO385" i="10" s="1"/>
  <c r="AN386" i="10"/>
  <c r="AN387" i="10"/>
  <c r="AN388" i="10"/>
  <c r="AN389" i="10"/>
  <c r="AO389" i="10" s="1"/>
  <c r="AN390" i="10"/>
  <c r="AN391" i="10"/>
  <c r="AN392" i="10"/>
  <c r="AN393" i="10"/>
  <c r="AN394" i="10"/>
  <c r="AN395" i="10"/>
  <c r="AN399" i="10"/>
  <c r="AN400" i="10"/>
  <c r="AN401" i="10"/>
  <c r="AN402" i="10"/>
  <c r="AN403" i="10"/>
  <c r="AN404" i="10"/>
  <c r="AO404" i="10" s="1"/>
  <c r="AN405" i="10"/>
  <c r="AN406" i="10"/>
  <c r="AN407" i="10"/>
  <c r="AN408" i="10"/>
  <c r="AN409" i="10"/>
  <c r="AN410" i="10"/>
  <c r="AN411" i="10"/>
  <c r="AN412" i="10"/>
  <c r="AN413" i="10"/>
  <c r="AN414" i="10"/>
  <c r="AN415" i="10"/>
  <c r="AN416" i="10"/>
  <c r="AN417" i="10"/>
  <c r="AN418" i="10"/>
  <c r="AN419" i="10"/>
  <c r="AN420" i="10"/>
  <c r="AN421" i="10"/>
  <c r="AN422" i="10"/>
  <c r="AN423" i="10"/>
  <c r="AN424" i="10"/>
  <c r="AO424" i="10" s="1"/>
  <c r="AN425" i="10"/>
  <c r="AN426" i="10"/>
  <c r="AN427" i="10"/>
  <c r="AN428" i="10"/>
  <c r="AN429" i="10"/>
  <c r="AN430" i="10"/>
  <c r="AN431" i="10"/>
  <c r="AN432" i="10"/>
  <c r="AN433" i="10"/>
  <c r="AN434" i="10"/>
  <c r="AN435" i="10"/>
  <c r="AN436" i="10"/>
  <c r="AN437" i="10"/>
  <c r="AN438" i="10"/>
  <c r="AN439" i="10"/>
  <c r="AN440" i="10"/>
  <c r="AO440" i="10" s="1"/>
  <c r="AN441" i="10"/>
  <c r="AN442" i="10"/>
  <c r="AN443" i="10"/>
  <c r="AO443" i="10" s="1"/>
  <c r="AN444" i="10"/>
  <c r="AO444" i="10" s="1"/>
  <c r="AN445" i="10"/>
  <c r="AO445" i="10" s="1"/>
  <c r="AN446" i="10"/>
  <c r="AN447" i="10"/>
  <c r="AN448" i="10"/>
  <c r="AO448" i="10" s="1"/>
  <c r="AN449" i="10"/>
  <c r="AN450" i="10"/>
  <c r="AN451" i="10"/>
  <c r="AO451" i="10" s="1"/>
  <c r="AN452" i="10"/>
  <c r="AO452" i="10" s="1"/>
  <c r="AN453" i="10"/>
  <c r="AN454" i="10"/>
  <c r="AN455" i="10"/>
  <c r="AN456" i="10"/>
  <c r="AO456" i="10" s="1"/>
  <c r="AN457" i="10"/>
  <c r="AO457" i="10" s="1"/>
  <c r="AN458" i="10"/>
  <c r="AN459" i="10"/>
  <c r="AO459" i="10" s="1"/>
  <c r="AN460" i="10"/>
  <c r="AN464" i="10"/>
  <c r="AN465" i="10"/>
  <c r="AN466" i="10"/>
  <c r="AN467" i="10"/>
  <c r="AN468" i="10"/>
  <c r="AN469" i="10"/>
  <c r="AN470" i="10"/>
  <c r="AO470" i="10" s="1"/>
  <c r="AN471" i="10"/>
  <c r="AO471" i="10" s="1"/>
  <c r="AN472" i="10"/>
  <c r="AN473" i="10"/>
  <c r="AN474" i="10"/>
  <c r="AN475" i="10"/>
  <c r="AN476" i="10"/>
  <c r="AN477" i="10"/>
  <c r="AN478" i="10"/>
  <c r="AN479" i="10"/>
  <c r="AN480" i="10"/>
  <c r="AN481" i="10"/>
  <c r="AN482" i="10"/>
  <c r="AN483" i="10"/>
  <c r="AN484" i="10"/>
  <c r="AN485" i="10"/>
  <c r="AN486" i="10"/>
  <c r="AN487" i="10"/>
  <c r="AN488" i="10"/>
  <c r="AN489" i="10"/>
  <c r="AN490" i="10"/>
  <c r="AN491" i="10"/>
  <c r="AO491" i="10" s="1"/>
  <c r="AN492" i="10"/>
  <c r="AN493" i="10"/>
  <c r="AN494" i="10"/>
  <c r="AN495" i="10"/>
  <c r="AN496" i="10"/>
  <c r="AN497" i="10"/>
  <c r="AN498" i="10"/>
  <c r="AO498" i="10" s="1"/>
  <c r="AN499" i="10"/>
  <c r="AN500" i="10"/>
  <c r="AN501" i="10"/>
  <c r="AN502" i="10"/>
  <c r="AN503" i="10"/>
  <c r="AN504" i="10"/>
  <c r="AN505" i="10"/>
  <c r="AN506" i="10"/>
  <c r="AO506" i="10" s="1"/>
  <c r="AN507" i="10"/>
  <c r="AN508" i="10"/>
  <c r="AN509" i="10"/>
  <c r="AN510" i="10"/>
  <c r="AO510" i="10" s="1"/>
  <c r="AN511" i="10"/>
  <c r="AO511" i="10" s="1"/>
  <c r="AN512" i="10"/>
  <c r="AN513" i="10"/>
  <c r="AN514" i="10"/>
  <c r="AN515" i="10"/>
  <c r="AO515" i="10" s="1"/>
  <c r="AN516" i="10"/>
  <c r="AN517" i="10"/>
  <c r="AN518" i="10"/>
  <c r="AO518" i="10" s="1"/>
  <c r="AN519" i="10"/>
  <c r="AN520" i="10"/>
  <c r="AN521" i="10"/>
  <c r="AN522" i="10"/>
  <c r="AO522" i="10" s="1"/>
  <c r="AN523" i="10"/>
  <c r="AN524" i="10"/>
  <c r="AN525" i="10"/>
  <c r="AN529" i="10"/>
  <c r="AN530" i="10"/>
  <c r="AN531" i="10"/>
  <c r="AN532" i="10"/>
  <c r="AN533" i="10"/>
  <c r="AO533" i="10" s="1"/>
  <c r="AN534" i="10"/>
  <c r="AN535" i="10"/>
  <c r="AN536" i="10"/>
  <c r="AN537" i="10"/>
  <c r="AN538" i="10"/>
  <c r="AN539" i="10"/>
  <c r="AN540" i="10"/>
  <c r="AO540" i="10" s="1"/>
  <c r="AN541" i="10"/>
  <c r="AN542" i="10"/>
  <c r="AN543" i="10"/>
  <c r="AN544" i="10"/>
  <c r="AN545" i="10"/>
  <c r="AN546" i="10"/>
  <c r="AN547" i="10"/>
  <c r="AN548" i="10"/>
  <c r="AN549" i="10"/>
  <c r="AN550" i="10"/>
  <c r="AN551" i="10"/>
  <c r="AN552" i="10"/>
  <c r="AO552" i="10" s="1"/>
  <c r="AN553" i="10"/>
  <c r="AN554" i="10"/>
  <c r="AN555" i="10"/>
  <c r="AN556" i="10"/>
  <c r="AN557" i="10"/>
  <c r="AN558" i="10"/>
  <c r="AN559" i="10"/>
  <c r="AN560" i="10"/>
  <c r="AN561" i="10"/>
  <c r="AO549" i="10" l="1"/>
  <c r="AO486" i="10"/>
  <c r="AO478" i="10"/>
  <c r="AO455" i="10"/>
  <c r="AO439" i="10"/>
  <c r="AO431" i="10"/>
  <c r="AO416" i="10"/>
  <c r="AO349" i="10"/>
  <c r="AO343" i="10"/>
  <c r="AO329" i="10"/>
  <c r="AO315" i="10"/>
  <c r="AO239" i="10"/>
  <c r="AO204" i="10"/>
  <c r="AO157" i="10"/>
  <c r="AO134" i="10"/>
  <c r="AO119" i="10"/>
  <c r="AO105" i="10"/>
  <c r="AO97" i="10"/>
  <c r="AO89" i="10"/>
  <c r="AO78" i="10"/>
  <c r="AO67" i="10"/>
  <c r="AO52" i="10"/>
  <c r="AO42" i="10"/>
  <c r="AO30" i="10"/>
  <c r="AO22" i="10"/>
  <c r="AO523" i="10"/>
  <c r="AO519" i="10"/>
  <c r="AO512" i="10"/>
  <c r="AO507" i="10"/>
  <c r="AO503" i="10"/>
  <c r="AO499" i="10"/>
  <c r="AO497" i="10"/>
  <c r="AO495" i="10"/>
  <c r="AO483" i="10"/>
  <c r="AO411" i="10"/>
  <c r="AO399" i="10"/>
  <c r="AO388" i="10"/>
  <c r="AO372" i="10"/>
  <c r="AO362" i="10"/>
  <c r="AO354" i="10"/>
  <c r="AO350" i="10"/>
  <c r="AO320" i="10"/>
  <c r="AO310" i="10"/>
  <c r="AO290" i="10"/>
  <c r="AO274" i="10"/>
  <c r="AO263" i="10"/>
  <c r="AO244" i="10"/>
  <c r="AO236" i="10"/>
  <c r="AO207" i="10"/>
  <c r="AO196" i="10"/>
  <c r="AO172" i="10"/>
  <c r="AO164" i="10"/>
  <c r="AO70" i="10"/>
  <c r="AO62" i="10"/>
  <c r="AO47" i="10"/>
  <c r="AO573" i="10"/>
  <c r="AO568" i="10"/>
  <c r="AO565" i="10"/>
  <c r="AO553" i="10"/>
  <c r="AO479" i="10"/>
  <c r="AO419" i="10"/>
  <c r="AO311" i="10"/>
  <c r="AO245" i="10"/>
  <c r="AO550" i="10"/>
  <c r="AO466" i="10"/>
  <c r="AO412" i="10"/>
  <c r="AO361" i="10"/>
  <c r="AO355" i="10"/>
  <c r="AO318" i="10"/>
  <c r="AO298" i="10"/>
  <c r="AO223" i="10"/>
  <c r="AO216" i="10"/>
  <c r="AO152" i="10"/>
  <c r="AO114" i="10"/>
  <c r="AO79" i="10"/>
  <c r="AO43" i="10"/>
  <c r="AO145" i="10"/>
  <c r="AO50" i="10"/>
  <c r="AO537" i="10"/>
  <c r="AO529" i="10"/>
  <c r="AO524" i="10"/>
  <c r="AO436" i="10"/>
  <c r="AO432" i="10"/>
  <c r="AO430" i="10"/>
  <c r="AO428" i="10"/>
  <c r="AO403" i="10"/>
  <c r="AO392" i="10"/>
  <c r="AO390" i="10"/>
  <c r="AO256" i="10"/>
  <c r="AO252" i="10"/>
  <c r="AO211" i="10"/>
  <c r="AO192" i="10"/>
  <c r="AO190" i="10"/>
  <c r="AO109" i="10"/>
  <c r="AO74" i="10"/>
  <c r="AO69" i="10"/>
  <c r="AO63" i="10"/>
  <c r="AO61" i="10"/>
  <c r="AO26" i="10"/>
  <c r="AO24" i="10"/>
  <c r="AO561" i="10"/>
  <c r="AO557" i="10"/>
  <c r="AO545" i="10"/>
  <c r="AO541" i="10"/>
  <c r="AO534" i="10"/>
  <c r="AO532" i="10"/>
  <c r="AO530" i="10"/>
  <c r="AO502" i="10"/>
  <c r="AO494" i="10"/>
  <c r="AO492" i="10"/>
  <c r="AO490" i="10"/>
  <c r="AO474" i="10"/>
  <c r="AO467" i="10"/>
  <c r="AO465" i="10"/>
  <c r="AO460" i="10"/>
  <c r="AO435" i="10"/>
  <c r="AO427" i="10"/>
  <c r="AO425" i="10"/>
  <c r="AO423" i="10"/>
  <c r="AO407" i="10"/>
  <c r="AO400" i="10"/>
  <c r="AO395" i="10"/>
  <c r="AO393" i="10"/>
  <c r="AO364" i="10"/>
  <c r="AO356" i="10"/>
  <c r="AO346" i="10"/>
  <c r="AO338" i="10"/>
  <c r="AO334" i="10"/>
  <c r="AO324" i="10"/>
  <c r="AO306" i="10"/>
  <c r="AO299" i="10"/>
  <c r="AO297" i="10"/>
  <c r="AO271" i="10"/>
  <c r="AO253" i="10"/>
  <c r="AO231" i="10"/>
  <c r="AO220" i="10"/>
  <c r="AO213" i="10"/>
  <c r="AO208" i="10"/>
  <c r="AO206" i="10"/>
  <c r="AO197" i="10"/>
  <c r="AO195" i="10"/>
  <c r="AO160" i="10"/>
  <c r="AO158" i="10"/>
  <c r="AO156" i="10"/>
  <c r="AO140" i="10"/>
  <c r="AO129" i="10"/>
  <c r="AO118" i="10"/>
  <c r="AO111" i="10"/>
  <c r="AO58" i="10"/>
  <c r="AO56" i="10"/>
  <c r="AO38" i="10"/>
  <c r="AO31" i="10"/>
  <c r="AO29" i="10"/>
  <c r="AO556" i="10"/>
  <c r="AO554" i="10"/>
  <c r="AO551" i="10"/>
  <c r="AO548" i="10"/>
  <c r="AO546" i="10"/>
  <c r="AO487" i="10"/>
  <c r="AO480" i="10"/>
  <c r="AO475" i="10"/>
  <c r="AO420" i="10"/>
  <c r="AO413" i="10"/>
  <c r="AO408" i="10"/>
  <c r="AO347" i="10"/>
  <c r="AO345" i="10"/>
  <c r="AO341" i="10"/>
  <c r="AO319" i="10"/>
  <c r="AO312" i="10"/>
  <c r="AO259" i="10"/>
  <c r="AO257" i="10"/>
  <c r="AO232" i="10"/>
  <c r="AO230" i="10"/>
  <c r="AO186" i="10"/>
  <c r="AO153" i="10"/>
  <c r="AO146" i="10"/>
  <c r="AO141" i="10"/>
  <c r="AO139" i="10"/>
  <c r="AO130" i="10"/>
  <c r="AO128" i="10"/>
  <c r="AO93" i="10"/>
  <c r="AO91" i="10"/>
  <c r="AO51" i="10"/>
  <c r="AO44" i="10"/>
  <c r="AO544" i="10"/>
  <c r="AO535" i="10"/>
  <c r="AO520" i="10"/>
  <c r="AO488" i="10"/>
  <c r="AO473" i="10"/>
  <c r="AO453" i="10"/>
  <c r="AO438" i="10"/>
  <c r="AO433" i="10"/>
  <c r="AO421" i="10"/>
  <c r="AO401" i="10"/>
  <c r="AO386" i="10"/>
  <c r="AO325" i="10"/>
  <c r="AO300" i="10"/>
  <c r="AO260" i="10"/>
  <c r="AO233" i="10"/>
  <c r="AO193" i="10"/>
  <c r="AO126" i="10"/>
  <c r="AO101" i="10"/>
  <c r="AO547" i="10"/>
  <c r="AO560" i="10"/>
  <c r="AO558" i="10"/>
  <c r="AO521" i="10"/>
  <c r="AO516" i="10"/>
  <c r="AO514" i="10"/>
  <c r="AO504" i="10"/>
  <c r="AO489" i="10"/>
  <c r="AO484" i="10"/>
  <c r="AO482" i="10"/>
  <c r="AO472" i="10"/>
  <c r="AO454" i="10"/>
  <c r="AO449" i="10"/>
  <c r="AO447" i="10"/>
  <c r="AO437" i="10"/>
  <c r="AO422" i="10"/>
  <c r="AO417" i="10"/>
  <c r="AO415" i="10"/>
  <c r="AO405" i="10"/>
  <c r="AO387" i="10"/>
  <c r="AO382" i="10"/>
  <c r="AO368" i="10"/>
  <c r="AO366" i="10"/>
  <c r="AO322" i="10"/>
  <c r="AO295" i="10"/>
  <c r="AO270" i="10"/>
  <c r="AO265" i="10"/>
  <c r="AO255" i="10"/>
  <c r="AO228" i="10"/>
  <c r="AO200" i="10"/>
  <c r="AO198" i="10"/>
  <c r="AO188" i="10"/>
  <c r="AO161" i="10"/>
  <c r="AO133" i="10"/>
  <c r="AO131" i="10"/>
  <c r="AO121" i="10"/>
  <c r="AO94" i="10"/>
  <c r="AO66" i="10"/>
  <c r="AO64" i="10"/>
  <c r="AO54" i="10"/>
  <c r="AO27" i="10"/>
  <c r="AO542" i="10"/>
  <c r="AO505" i="10"/>
  <c r="AO500" i="10"/>
  <c r="AO468" i="10"/>
  <c r="AO406" i="10"/>
  <c r="AO327" i="10"/>
  <c r="AO302" i="10"/>
  <c r="AO235" i="10"/>
  <c r="AO168" i="10"/>
  <c r="AO166" i="10"/>
  <c r="AO99" i="10"/>
  <c r="AO59" i="10"/>
  <c r="AO34" i="10"/>
  <c r="AO32" i="10"/>
  <c r="AO538" i="10"/>
  <c r="AO531" i="10"/>
  <c r="AO513" i="10"/>
  <c r="AO508" i="10"/>
  <c r="AO496" i="10"/>
  <c r="AO481" i="10"/>
  <c r="AO476" i="10"/>
  <c r="AO464" i="10"/>
  <c r="AO446" i="10"/>
  <c r="AO441" i="10"/>
  <c r="AO429" i="10"/>
  <c r="AO414" i="10"/>
  <c r="AO409" i="10"/>
  <c r="AO394" i="10"/>
  <c r="AO379" i="10"/>
  <c r="AO374" i="10"/>
  <c r="AO339" i="10"/>
  <c r="AO337" i="10"/>
  <c r="AO335" i="10"/>
  <c r="AO307" i="10"/>
  <c r="AO305" i="10"/>
  <c r="AO288" i="10"/>
  <c r="AO240" i="10"/>
  <c r="AO238" i="10"/>
  <c r="AO221" i="10"/>
  <c r="AO173" i="10"/>
  <c r="AO171" i="10"/>
  <c r="AO154" i="10"/>
  <c r="AO106" i="10"/>
  <c r="AO104" i="10"/>
  <c r="AO87" i="10"/>
  <c r="AO39" i="10"/>
  <c r="AO37" i="10"/>
  <c r="AO20" i="10"/>
  <c r="AO380" i="10"/>
  <c r="AO370" i="10"/>
  <c r="AO360" i="10"/>
  <c r="AO358" i="10"/>
  <c r="AO353" i="10"/>
  <c r="AO351" i="10"/>
  <c r="AO321" i="10"/>
  <c r="AO316" i="10"/>
  <c r="AO314" i="10"/>
  <c r="AO304" i="10"/>
  <c r="AO301" i="10"/>
  <c r="AO289" i="10"/>
  <c r="AO284" i="10"/>
  <c r="AO282" i="10"/>
  <c r="AO272" i="10"/>
  <c r="AO269" i="10"/>
  <c r="AO254" i="10"/>
  <c r="AO249" i="10"/>
  <c r="AO247" i="10"/>
  <c r="AO237" i="10"/>
  <c r="AO234" i="10"/>
  <c r="AO222" i="10"/>
  <c r="AO217" i="10"/>
  <c r="AO215" i="10"/>
  <c r="AO205" i="10"/>
  <c r="AO199" i="10"/>
  <c r="AO187" i="10"/>
  <c r="AO182" i="10"/>
  <c r="AO180" i="10"/>
  <c r="AO170" i="10"/>
  <c r="AO167" i="10"/>
  <c r="AO155" i="10"/>
  <c r="AO150" i="10"/>
  <c r="AO148" i="10"/>
  <c r="AO135" i="10"/>
  <c r="AO132" i="10"/>
  <c r="AO120" i="10"/>
  <c r="AO115" i="10"/>
  <c r="AO113" i="10"/>
  <c r="AO103" i="10"/>
  <c r="AO100" i="10"/>
  <c r="AO88" i="10"/>
  <c r="AO83" i="10"/>
  <c r="AO81" i="10"/>
  <c r="AO68" i="10"/>
  <c r="AO65" i="10"/>
  <c r="AO53" i="10"/>
  <c r="AO48" i="10"/>
  <c r="AO46" i="10"/>
  <c r="AO36" i="10"/>
  <c r="AO33" i="10"/>
  <c r="AO21" i="10"/>
  <c r="AO16" i="10"/>
  <c r="AO14" i="10"/>
  <c r="AO328" i="10"/>
  <c r="AO313" i="10"/>
  <c r="AO308" i="10"/>
  <c r="AO296" i="10"/>
  <c r="AO293" i="10"/>
  <c r="AO281" i="10"/>
  <c r="AO276" i="10"/>
  <c r="AO261" i="10"/>
  <c r="AO258" i="10"/>
  <c r="AO246" i="10"/>
  <c r="AO241" i="10"/>
  <c r="AO229" i="10"/>
  <c r="AO226" i="10"/>
  <c r="AO214" i="10"/>
  <c r="AO209" i="10"/>
  <c r="AO194" i="10"/>
  <c r="AO191" i="10"/>
  <c r="AO179" i="10"/>
  <c r="AO174" i="10"/>
  <c r="AO162" i="10"/>
  <c r="AO159" i="10"/>
  <c r="AO147" i="10"/>
  <c r="AO142" i="10"/>
  <c r="AO127" i="10"/>
  <c r="AO124" i="10"/>
  <c r="AO112" i="10"/>
  <c r="AO107" i="10"/>
  <c r="AO95" i="10"/>
  <c r="AO92" i="10"/>
  <c r="AO80" i="10"/>
  <c r="AO75" i="10"/>
  <c r="AO60" i="10"/>
  <c r="AO57" i="10"/>
  <c r="AO45" i="10"/>
  <c r="AO40" i="10"/>
  <c r="AO28" i="10"/>
  <c r="AO25" i="10"/>
  <c r="AO13" i="10"/>
  <c r="AO555" i="10"/>
  <c r="AO493" i="10"/>
  <c r="AO469" i="10"/>
  <c r="AO458" i="10"/>
  <c r="AO442" i="10"/>
  <c r="AO426" i="10"/>
  <c r="AO418" i="10"/>
  <c r="AO410" i="10"/>
  <c r="AO391" i="10"/>
  <c r="AO375" i="10"/>
  <c r="AO367" i="10"/>
  <c r="AO277" i="10"/>
  <c r="AO242" i="10"/>
  <c r="AO210" i="10"/>
  <c r="AO175" i="10"/>
  <c r="AO143" i="10"/>
  <c r="AO108" i="10"/>
  <c r="AO76" i="10"/>
  <c r="AO41" i="10"/>
  <c r="AO559" i="10"/>
  <c r="AO543" i="10"/>
  <c r="AO357" i="10"/>
  <c r="AO348" i="10"/>
  <c r="AO317" i="10"/>
  <c r="AO285" i="10"/>
  <c r="AO250" i="10"/>
  <c r="AO218" i="10"/>
  <c r="AO183" i="10"/>
  <c r="AO151" i="10"/>
  <c r="AO116" i="10"/>
  <c r="AO84" i="10"/>
  <c r="AO49" i="10"/>
  <c r="AO17" i="10"/>
  <c r="AO539" i="10"/>
  <c r="AO536" i="10"/>
  <c r="AO525" i="10"/>
  <c r="AO517" i="10"/>
  <c r="AO509" i="10"/>
  <c r="AO501" i="10"/>
  <c r="AO485" i="10"/>
  <c r="AO477" i="10"/>
  <c r="AO450" i="10"/>
  <c r="AO434" i="10"/>
  <c r="AO402" i="10"/>
  <c r="AO383" i="10"/>
  <c r="AO309" i="10"/>
  <c r="AO352" i="10"/>
  <c r="AO336" i="10"/>
  <c r="AE32" i="10"/>
  <c r="AL32" i="10" s="1"/>
  <c r="AE9" i="10" l="1"/>
  <c r="AL9" i="10" s="1"/>
  <c r="AE681" i="10"/>
  <c r="AL681" i="10" s="1"/>
  <c r="AE680" i="10"/>
  <c r="AL680" i="10" s="1"/>
  <c r="AE679" i="10"/>
  <c r="AL679" i="10" s="1"/>
  <c r="AE678" i="10"/>
  <c r="AL678" i="10" s="1"/>
  <c r="AE677" i="10"/>
  <c r="AL677" i="10" s="1"/>
  <c r="AE676" i="10"/>
  <c r="AL676" i="10" s="1"/>
  <c r="AE675" i="10"/>
  <c r="AL675" i="10" s="1"/>
  <c r="AE674" i="10"/>
  <c r="AL674" i="10" s="1"/>
  <c r="AE673" i="10"/>
  <c r="AL673" i="10" s="1"/>
  <c r="AE672" i="10"/>
  <c r="AL672" i="10" s="1"/>
  <c r="AE671" i="10"/>
  <c r="AL671" i="10" s="1"/>
  <c r="AE670" i="10"/>
  <c r="AL670" i="10" s="1"/>
  <c r="AE669" i="10"/>
  <c r="AL669" i="10" s="1"/>
  <c r="AE668" i="10"/>
  <c r="AL668" i="10" s="1"/>
  <c r="AE667" i="10"/>
  <c r="AL667" i="10" s="1"/>
  <c r="AE666" i="10"/>
  <c r="AL666" i="10" s="1"/>
  <c r="AE665" i="10"/>
  <c r="AL665" i="10" s="1"/>
  <c r="AE664" i="10"/>
  <c r="AL664" i="10" s="1"/>
  <c r="AE663" i="10"/>
  <c r="AL663" i="10" s="1"/>
  <c r="AE662" i="10"/>
  <c r="AL662" i="10" s="1"/>
  <c r="AE661" i="10"/>
  <c r="AL661" i="10" s="1"/>
  <c r="AE660" i="10"/>
  <c r="AL660" i="10" s="1"/>
  <c r="AE659" i="10"/>
  <c r="AL659" i="10" s="1"/>
  <c r="AE655" i="10"/>
  <c r="AL655" i="10" s="1"/>
  <c r="AE654" i="10"/>
  <c r="AL654" i="10" s="1"/>
  <c r="AE653" i="10"/>
  <c r="AL653" i="10" s="1"/>
  <c r="AE652" i="10"/>
  <c r="AL652" i="10" s="1"/>
  <c r="AE651" i="10"/>
  <c r="AL651" i="10" s="1"/>
  <c r="AE650" i="10"/>
  <c r="AL650" i="10" s="1"/>
  <c r="AE649" i="10"/>
  <c r="AL649" i="10" s="1"/>
  <c r="AE648" i="10"/>
  <c r="AL648" i="10" s="1"/>
  <c r="AE647" i="10"/>
  <c r="AL647" i="10" s="1"/>
  <c r="AE646" i="10"/>
  <c r="AL646" i="10" s="1"/>
  <c r="AE645" i="10"/>
  <c r="AL645" i="10" s="1"/>
  <c r="AE644" i="10"/>
  <c r="AL644" i="10" s="1"/>
  <c r="AE643" i="10"/>
  <c r="AL643" i="10" s="1"/>
  <c r="AE642" i="10"/>
  <c r="AL642" i="10" s="1"/>
  <c r="AE641" i="10"/>
  <c r="AL641" i="10" s="1"/>
  <c r="AE640" i="10"/>
  <c r="AL640" i="10" s="1"/>
  <c r="AE639" i="10"/>
  <c r="AL639" i="10" s="1"/>
  <c r="AE638" i="10"/>
  <c r="AL638" i="10" s="1"/>
  <c r="AE637" i="10"/>
  <c r="AL637" i="10" s="1"/>
  <c r="AE636" i="10"/>
  <c r="AL636" i="10" s="1"/>
  <c r="AE635" i="10"/>
  <c r="AL635" i="10" s="1"/>
  <c r="AE634" i="10"/>
  <c r="AL634" i="10" s="1"/>
  <c r="AE633" i="10"/>
  <c r="AL633" i="10" s="1"/>
  <c r="AE632" i="10"/>
  <c r="AL632" i="10" s="1"/>
  <c r="AE631" i="10"/>
  <c r="AL631" i="10" s="1"/>
  <c r="AE630" i="10"/>
  <c r="AL630" i="10" s="1"/>
  <c r="AE629" i="10"/>
  <c r="AL629" i="10" s="1"/>
  <c r="AE628" i="10"/>
  <c r="AL628" i="10" s="1"/>
  <c r="AE627" i="10"/>
  <c r="AL627" i="10" s="1"/>
  <c r="AE626" i="10"/>
  <c r="AL626" i="10" s="1"/>
  <c r="AE625" i="10"/>
  <c r="AL625" i="10" s="1"/>
  <c r="AE624" i="10"/>
  <c r="AL624" i="10" s="1"/>
  <c r="AE623" i="10"/>
  <c r="AL623" i="10" s="1"/>
  <c r="AE622" i="10"/>
  <c r="AL622" i="10" s="1"/>
  <c r="AE621" i="10"/>
  <c r="AL621" i="10" s="1"/>
  <c r="AE620" i="10"/>
  <c r="AL620" i="10" s="1"/>
  <c r="AE619" i="10"/>
  <c r="AL619" i="10" s="1"/>
  <c r="AE618" i="10"/>
  <c r="AL618" i="10" s="1"/>
  <c r="AE617" i="10"/>
  <c r="AL617" i="10" s="1"/>
  <c r="AE616" i="10"/>
  <c r="AL616" i="10" s="1"/>
  <c r="AE615" i="10"/>
  <c r="AL615" i="10" s="1"/>
  <c r="AE614" i="10"/>
  <c r="AL614" i="10" s="1"/>
  <c r="AE613" i="10"/>
  <c r="AL613" i="10" s="1"/>
  <c r="AE612" i="10"/>
  <c r="AL612" i="10" s="1"/>
  <c r="AE611" i="10"/>
  <c r="AL611" i="10" s="1"/>
  <c r="AE610" i="10"/>
  <c r="AL610" i="10" s="1"/>
  <c r="AE609" i="10"/>
  <c r="AL609" i="10" s="1"/>
  <c r="AE608" i="10"/>
  <c r="AL608" i="10" s="1"/>
  <c r="AE607" i="10"/>
  <c r="AL607" i="10" s="1"/>
  <c r="AE606" i="10"/>
  <c r="AL606" i="10" s="1"/>
  <c r="AE605" i="10"/>
  <c r="AL605" i="10" s="1"/>
  <c r="AE604" i="10"/>
  <c r="AL604" i="10" s="1"/>
  <c r="AE603" i="10"/>
  <c r="AL603" i="10" s="1"/>
  <c r="AE602" i="10"/>
  <c r="AL602" i="10" s="1"/>
  <c r="AE601" i="10"/>
  <c r="AL601" i="10" s="1"/>
  <c r="AE600" i="10"/>
  <c r="AL600" i="10" s="1"/>
  <c r="AE599" i="10"/>
  <c r="AL599" i="10" s="1"/>
  <c r="AE598" i="10"/>
  <c r="AL598" i="10" s="1"/>
  <c r="AE597" i="10"/>
  <c r="AL597" i="10" s="1"/>
  <c r="AE596" i="10"/>
  <c r="AL596" i="10" s="1"/>
  <c r="AE595" i="10"/>
  <c r="AL595" i="10" s="1"/>
  <c r="AE594" i="10"/>
  <c r="AL594" i="10" s="1"/>
  <c r="AE590" i="10"/>
  <c r="AL590" i="10" s="1"/>
  <c r="AE589" i="10"/>
  <c r="AL589" i="10" s="1"/>
  <c r="AE588" i="10"/>
  <c r="AL588" i="10" s="1"/>
  <c r="AE587" i="10"/>
  <c r="AL587" i="10" s="1"/>
  <c r="AE586" i="10"/>
  <c r="AL586" i="10" s="1"/>
  <c r="AE585" i="10"/>
  <c r="AL585" i="10" s="1"/>
  <c r="AE584" i="10"/>
  <c r="AL584" i="10" s="1"/>
  <c r="AE583" i="10"/>
  <c r="AL583" i="10" s="1"/>
  <c r="AE582" i="10"/>
  <c r="AL582" i="10" s="1"/>
  <c r="AE581" i="10"/>
  <c r="AL581" i="10" s="1"/>
  <c r="AE580" i="10"/>
  <c r="AL580" i="10" s="1"/>
  <c r="AE579" i="10"/>
  <c r="AL579" i="10" s="1"/>
  <c r="AE578" i="10"/>
  <c r="AL578" i="10" s="1"/>
  <c r="AE576" i="10"/>
  <c r="AL576" i="10" s="1"/>
  <c r="AE575" i="10"/>
  <c r="AL575" i="10" s="1"/>
  <c r="AE574" i="10"/>
  <c r="AL574" i="10" s="1"/>
  <c r="AE573" i="10"/>
  <c r="AL573" i="10" s="1"/>
  <c r="AE572" i="10"/>
  <c r="AL572" i="10" s="1"/>
  <c r="AE571" i="10"/>
  <c r="AL571" i="10" s="1"/>
  <c r="AE570" i="10"/>
  <c r="AL570" i="10" s="1"/>
  <c r="AE569" i="10"/>
  <c r="AL569" i="10" s="1"/>
  <c r="AE568" i="10"/>
  <c r="AL568" i="10" s="1"/>
  <c r="AE567" i="10"/>
  <c r="AL567" i="10" s="1"/>
  <c r="AE566" i="10"/>
  <c r="AL566" i="10" s="1"/>
  <c r="AE565" i="10"/>
  <c r="AL565" i="10" s="1"/>
  <c r="AE564" i="10"/>
  <c r="AL564" i="10" s="1"/>
  <c r="AE563" i="10"/>
  <c r="AL563" i="10" s="1"/>
  <c r="AE562" i="10"/>
  <c r="AL562" i="10" s="1"/>
  <c r="AE561" i="10"/>
  <c r="AL561" i="10" s="1"/>
  <c r="AE560" i="10"/>
  <c r="AL560" i="10" s="1"/>
  <c r="AE559" i="10"/>
  <c r="AL559" i="10" s="1"/>
  <c r="AE558" i="10"/>
  <c r="AL558" i="10" s="1"/>
  <c r="AE557" i="10"/>
  <c r="AL557" i="10" s="1"/>
  <c r="AE556" i="10"/>
  <c r="AL556" i="10" s="1"/>
  <c r="AE555" i="10"/>
  <c r="AL555" i="10" s="1"/>
  <c r="AE554" i="10"/>
  <c r="AL554" i="10" s="1"/>
  <c r="AE553" i="10"/>
  <c r="AL553" i="10" s="1"/>
  <c r="AE552" i="10"/>
  <c r="AL552" i="10" s="1"/>
  <c r="AE551" i="10"/>
  <c r="AL551" i="10" s="1"/>
  <c r="AE550" i="10"/>
  <c r="AL550" i="10" s="1"/>
  <c r="AE549" i="10"/>
  <c r="AL549" i="10" s="1"/>
  <c r="AE548" i="10"/>
  <c r="AL548" i="10" s="1"/>
  <c r="AE547" i="10"/>
  <c r="AL547" i="10" s="1"/>
  <c r="AE546" i="10"/>
  <c r="AL546" i="10" s="1"/>
  <c r="AE545" i="10"/>
  <c r="AL545" i="10" s="1"/>
  <c r="AE544" i="10"/>
  <c r="AL544" i="10" s="1"/>
  <c r="AE543" i="10"/>
  <c r="AL543" i="10" s="1"/>
  <c r="AE542" i="10"/>
  <c r="AL542" i="10" s="1"/>
  <c r="AE541" i="10"/>
  <c r="AL541" i="10" s="1"/>
  <c r="AE540" i="10"/>
  <c r="AL540" i="10" s="1"/>
  <c r="AE539" i="10"/>
  <c r="AL539" i="10" s="1"/>
  <c r="AE538" i="10"/>
  <c r="AL538" i="10" s="1"/>
  <c r="AE537" i="10"/>
  <c r="AL537" i="10" s="1"/>
  <c r="AE536" i="10"/>
  <c r="AL536" i="10" s="1"/>
  <c r="AE535" i="10"/>
  <c r="AL535" i="10" s="1"/>
  <c r="AE534" i="10"/>
  <c r="AL534" i="10" s="1"/>
  <c r="AE533" i="10"/>
  <c r="AL533" i="10" s="1"/>
  <c r="AE532" i="10"/>
  <c r="AL532" i="10" s="1"/>
  <c r="AE531" i="10"/>
  <c r="AL531" i="10" s="1"/>
  <c r="AE530" i="10"/>
  <c r="AL530" i="10" s="1"/>
  <c r="AE529" i="10"/>
  <c r="AL529" i="10" s="1"/>
  <c r="AE525" i="10"/>
  <c r="AL525" i="10" s="1"/>
  <c r="AE524" i="10"/>
  <c r="AL524" i="10" s="1"/>
  <c r="AE523" i="10"/>
  <c r="AL523" i="10" s="1"/>
  <c r="AE522" i="10"/>
  <c r="AL522" i="10" s="1"/>
  <c r="AE521" i="10"/>
  <c r="AL521" i="10" s="1"/>
  <c r="AE520" i="10"/>
  <c r="AL520" i="10" s="1"/>
  <c r="AE519" i="10"/>
  <c r="AL519" i="10" s="1"/>
  <c r="AE518" i="10"/>
  <c r="AL518" i="10" s="1"/>
  <c r="AE517" i="10"/>
  <c r="AL517" i="10" s="1"/>
  <c r="AE516" i="10"/>
  <c r="AL516" i="10" s="1"/>
  <c r="AE515" i="10"/>
  <c r="AL515" i="10" s="1"/>
  <c r="AE514" i="10"/>
  <c r="AL514" i="10" s="1"/>
  <c r="AE513" i="10"/>
  <c r="AL513" i="10" s="1"/>
  <c r="AE512" i="10"/>
  <c r="AL512" i="10" s="1"/>
  <c r="AE511" i="10"/>
  <c r="AL511" i="10" s="1"/>
  <c r="AE510" i="10"/>
  <c r="AL510" i="10" s="1"/>
  <c r="AE509" i="10"/>
  <c r="AL509" i="10" s="1"/>
  <c r="AE508" i="10"/>
  <c r="AL508" i="10" s="1"/>
  <c r="AE507" i="10"/>
  <c r="AL507" i="10" s="1"/>
  <c r="AE506" i="10"/>
  <c r="AL506" i="10" s="1"/>
  <c r="AE505" i="10"/>
  <c r="AL505" i="10" s="1"/>
  <c r="AE504" i="10"/>
  <c r="AL504" i="10" s="1"/>
  <c r="AE503" i="10"/>
  <c r="AL503" i="10" s="1"/>
  <c r="AE502" i="10"/>
  <c r="AL502" i="10" s="1"/>
  <c r="AE501" i="10"/>
  <c r="AL501" i="10" s="1"/>
  <c r="AE500" i="10"/>
  <c r="AL500" i="10" s="1"/>
  <c r="AE499" i="10"/>
  <c r="AL499" i="10" s="1"/>
  <c r="AE498" i="10"/>
  <c r="AL498" i="10" s="1"/>
  <c r="AE497" i="10"/>
  <c r="AL497" i="10" s="1"/>
  <c r="AE496" i="10"/>
  <c r="AL496" i="10" s="1"/>
  <c r="AE495" i="10"/>
  <c r="AL495" i="10" s="1"/>
  <c r="AE494" i="10"/>
  <c r="AL494" i="10" s="1"/>
  <c r="AE493" i="10"/>
  <c r="AL493" i="10" s="1"/>
  <c r="AE492" i="10"/>
  <c r="AL492" i="10" s="1"/>
  <c r="AE491" i="10"/>
  <c r="AL491" i="10" s="1"/>
  <c r="AE490" i="10"/>
  <c r="AL490" i="10" s="1"/>
  <c r="AE489" i="10"/>
  <c r="AL489" i="10" s="1"/>
  <c r="AE488" i="10"/>
  <c r="AL488" i="10" s="1"/>
  <c r="AE487" i="10"/>
  <c r="AL487" i="10" s="1"/>
  <c r="AE486" i="10"/>
  <c r="AL486" i="10" s="1"/>
  <c r="AE485" i="10"/>
  <c r="AL485" i="10" s="1"/>
  <c r="AE484" i="10"/>
  <c r="AL484" i="10" s="1"/>
  <c r="AE483" i="10"/>
  <c r="AL483" i="10" s="1"/>
  <c r="AE482" i="10"/>
  <c r="AL482" i="10" s="1"/>
  <c r="AE481" i="10"/>
  <c r="AL481" i="10" s="1"/>
  <c r="AE480" i="10"/>
  <c r="AL480" i="10" s="1"/>
  <c r="AE479" i="10"/>
  <c r="AL479" i="10" s="1"/>
  <c r="AE478" i="10"/>
  <c r="AL478" i="10" s="1"/>
  <c r="AE477" i="10"/>
  <c r="AL477" i="10" s="1"/>
  <c r="AE476" i="10"/>
  <c r="AL476" i="10" s="1"/>
  <c r="AE475" i="10"/>
  <c r="AL475" i="10" s="1"/>
  <c r="AE474" i="10"/>
  <c r="AL474" i="10" s="1"/>
  <c r="AE473" i="10"/>
  <c r="AL473" i="10" s="1"/>
  <c r="AE472" i="10"/>
  <c r="AL472" i="10" s="1"/>
  <c r="AE471" i="10"/>
  <c r="AL471" i="10" s="1"/>
  <c r="AE470" i="10"/>
  <c r="AL470" i="10" s="1"/>
  <c r="AE469" i="10"/>
  <c r="AL469" i="10" s="1"/>
  <c r="AE468" i="10"/>
  <c r="AL468" i="10" s="1"/>
  <c r="AE467" i="10"/>
  <c r="AL467" i="10" s="1"/>
  <c r="AE466" i="10"/>
  <c r="AL466" i="10" s="1"/>
  <c r="AE465" i="10"/>
  <c r="AL465" i="10" s="1"/>
  <c r="AE464" i="10"/>
  <c r="AL464" i="10" s="1"/>
  <c r="AE460" i="10"/>
  <c r="AL460" i="10" s="1"/>
  <c r="AE459" i="10"/>
  <c r="AL459" i="10" s="1"/>
  <c r="AE458" i="10"/>
  <c r="AL458" i="10" s="1"/>
  <c r="AE457" i="10"/>
  <c r="AL457" i="10" s="1"/>
  <c r="AE456" i="10"/>
  <c r="AL456" i="10" s="1"/>
  <c r="AE455" i="10"/>
  <c r="AL455" i="10" s="1"/>
  <c r="AE454" i="10"/>
  <c r="AL454" i="10" s="1"/>
  <c r="AE453" i="10"/>
  <c r="AL453" i="10" s="1"/>
  <c r="AE452" i="10"/>
  <c r="AL452" i="10" s="1"/>
  <c r="AE451" i="10"/>
  <c r="AL451" i="10" s="1"/>
  <c r="AE450" i="10"/>
  <c r="AL450" i="10" s="1"/>
  <c r="AE449" i="10"/>
  <c r="AL449" i="10" s="1"/>
  <c r="AE448" i="10"/>
  <c r="AL448" i="10" s="1"/>
  <c r="AE447" i="10"/>
  <c r="AL447" i="10" s="1"/>
  <c r="AE446" i="10"/>
  <c r="AL446" i="10" s="1"/>
  <c r="AE445" i="10"/>
  <c r="AL445" i="10" s="1"/>
  <c r="AE444" i="10"/>
  <c r="AL444" i="10" s="1"/>
  <c r="AE443" i="10"/>
  <c r="AL443" i="10" s="1"/>
  <c r="AE442" i="10"/>
  <c r="AL442" i="10" s="1"/>
  <c r="AE441" i="10"/>
  <c r="AL441" i="10" s="1"/>
  <c r="AE440" i="10"/>
  <c r="AL440" i="10" s="1"/>
  <c r="AE439" i="10"/>
  <c r="AL439" i="10" s="1"/>
  <c r="AE438" i="10"/>
  <c r="AL438" i="10" s="1"/>
  <c r="AE437" i="10"/>
  <c r="AL437" i="10" s="1"/>
  <c r="AE436" i="10"/>
  <c r="AL436" i="10" s="1"/>
  <c r="AE435" i="10"/>
  <c r="AL435" i="10" s="1"/>
  <c r="AE434" i="10"/>
  <c r="AL434" i="10" s="1"/>
  <c r="AE433" i="10"/>
  <c r="AL433" i="10" s="1"/>
  <c r="AE432" i="10"/>
  <c r="AL432" i="10" s="1"/>
  <c r="AE431" i="10"/>
  <c r="AL431" i="10" s="1"/>
  <c r="AE430" i="10"/>
  <c r="AL430" i="10" s="1"/>
  <c r="AE429" i="10"/>
  <c r="AL429" i="10" s="1"/>
  <c r="AE428" i="10"/>
  <c r="AL428" i="10" s="1"/>
  <c r="AE427" i="10"/>
  <c r="AL427" i="10" s="1"/>
  <c r="AE426" i="10"/>
  <c r="AL426" i="10" s="1"/>
  <c r="AE425" i="10"/>
  <c r="AL425" i="10" s="1"/>
  <c r="AE424" i="10"/>
  <c r="AL424" i="10" s="1"/>
  <c r="AE423" i="10"/>
  <c r="AL423" i="10" s="1"/>
  <c r="AE422" i="10"/>
  <c r="AL422" i="10" s="1"/>
  <c r="AE421" i="10"/>
  <c r="AL421" i="10" s="1"/>
  <c r="AE420" i="10"/>
  <c r="AL420" i="10" s="1"/>
  <c r="AE419" i="10"/>
  <c r="AL419" i="10" s="1"/>
  <c r="AE418" i="10"/>
  <c r="AL418" i="10" s="1"/>
  <c r="AE417" i="10"/>
  <c r="AL417" i="10" s="1"/>
  <c r="AE416" i="10"/>
  <c r="AL416" i="10" s="1"/>
  <c r="AE415" i="10"/>
  <c r="AL415" i="10" s="1"/>
  <c r="AE414" i="10"/>
  <c r="AL414" i="10" s="1"/>
  <c r="AE413" i="10"/>
  <c r="AL413" i="10" s="1"/>
  <c r="AE412" i="10"/>
  <c r="AL412" i="10" s="1"/>
  <c r="AE411" i="10"/>
  <c r="AL411" i="10" s="1"/>
  <c r="AE410" i="10"/>
  <c r="AL410" i="10" s="1"/>
  <c r="AE409" i="10"/>
  <c r="AL409" i="10" s="1"/>
  <c r="AE408" i="10"/>
  <c r="AL408" i="10" s="1"/>
  <c r="AE407" i="10"/>
  <c r="AL407" i="10" s="1"/>
  <c r="AE406" i="10"/>
  <c r="AL406" i="10" s="1"/>
  <c r="AE404" i="10"/>
  <c r="AL404" i="10" s="1"/>
  <c r="AE403" i="10"/>
  <c r="AL403" i="10" s="1"/>
  <c r="AE402" i="10"/>
  <c r="AL402" i="10" s="1"/>
  <c r="AE401" i="10"/>
  <c r="AL401" i="10" s="1"/>
  <c r="AE400" i="10"/>
  <c r="AL400" i="10" s="1"/>
  <c r="AE399" i="10"/>
  <c r="AL399" i="10" s="1"/>
  <c r="AE395" i="10"/>
  <c r="AL395" i="10" s="1"/>
  <c r="AE394" i="10"/>
  <c r="AL394" i="10" s="1"/>
  <c r="AE393" i="10"/>
  <c r="AL393" i="10" s="1"/>
  <c r="AE392" i="10"/>
  <c r="AL392" i="10" s="1"/>
  <c r="AE391" i="10"/>
  <c r="AL391" i="10" s="1"/>
  <c r="AE390" i="10"/>
  <c r="AL390" i="10" s="1"/>
  <c r="AE389" i="10"/>
  <c r="AL389" i="10" s="1"/>
  <c r="AE388" i="10"/>
  <c r="AL388" i="10" s="1"/>
  <c r="AE387" i="10"/>
  <c r="AL387" i="10" s="1"/>
  <c r="AE386" i="10"/>
  <c r="AL386" i="10" s="1"/>
  <c r="AE385" i="10"/>
  <c r="AL385" i="10" s="1"/>
  <c r="AE384" i="10"/>
  <c r="AL384" i="10" s="1"/>
  <c r="AE383" i="10"/>
  <c r="AL383" i="10" s="1"/>
  <c r="AE382" i="10"/>
  <c r="AL382" i="10" s="1"/>
  <c r="AE381" i="10"/>
  <c r="AL381" i="10" s="1"/>
  <c r="AE380" i="10"/>
  <c r="AL380" i="10" s="1"/>
  <c r="AE379" i="10"/>
  <c r="AL379" i="10" s="1"/>
  <c r="AE378" i="10"/>
  <c r="AL378" i="10" s="1"/>
  <c r="AE377" i="10"/>
  <c r="AL377" i="10" s="1"/>
  <c r="AE376" i="10"/>
  <c r="AL376" i="10" s="1"/>
  <c r="AE375" i="10"/>
  <c r="AL375" i="10" s="1"/>
  <c r="AE374" i="10"/>
  <c r="AL374" i="10" s="1"/>
  <c r="AE373" i="10"/>
  <c r="AL373" i="10" s="1"/>
  <c r="AE372" i="10"/>
  <c r="AL372" i="10" s="1"/>
  <c r="AE371" i="10"/>
  <c r="AL371" i="10" s="1"/>
  <c r="AE370" i="10"/>
  <c r="AL370" i="10" s="1"/>
  <c r="AE369" i="10"/>
  <c r="AL369" i="10" s="1"/>
  <c r="AE368" i="10"/>
  <c r="AL368" i="10" s="1"/>
  <c r="AE367" i="10"/>
  <c r="AL367" i="10" s="1"/>
  <c r="AE366" i="10"/>
  <c r="AL366" i="10" s="1"/>
  <c r="AE365" i="10"/>
  <c r="AL365" i="10" s="1"/>
  <c r="AE364" i="10"/>
  <c r="AL364" i="10" s="1"/>
  <c r="AE363" i="10"/>
  <c r="AL363" i="10" s="1"/>
  <c r="AE362" i="10"/>
  <c r="AL362" i="10" s="1"/>
  <c r="AE361" i="10"/>
  <c r="AL361" i="10" s="1"/>
  <c r="AE360" i="10"/>
  <c r="AL360" i="10" s="1"/>
  <c r="AE359" i="10"/>
  <c r="AL359" i="10" s="1"/>
  <c r="AE358" i="10"/>
  <c r="AL358" i="10" s="1"/>
  <c r="AE357" i="10"/>
  <c r="AL357" i="10" s="1"/>
  <c r="AE356" i="10"/>
  <c r="AL356" i="10" s="1"/>
  <c r="AE355" i="10"/>
  <c r="AL355" i="10" s="1"/>
  <c r="AE354" i="10"/>
  <c r="AL354" i="10" s="1"/>
  <c r="AE353" i="10"/>
  <c r="AL353" i="10" s="1"/>
  <c r="AE351" i="10"/>
  <c r="AL351" i="10" s="1"/>
  <c r="AE350" i="10"/>
  <c r="AL350" i="10" s="1"/>
  <c r="AE349" i="10"/>
  <c r="AL349" i="10" s="1"/>
  <c r="AE348" i="10"/>
  <c r="AL348" i="10" s="1"/>
  <c r="AE347" i="10"/>
  <c r="AL347" i="10" s="1"/>
  <c r="AE346" i="10"/>
  <c r="AL346" i="10" s="1"/>
  <c r="AE345" i="10"/>
  <c r="AL345" i="10" s="1"/>
  <c r="AE344" i="10"/>
  <c r="AL344" i="10" s="1"/>
  <c r="AE343" i="10"/>
  <c r="AL343" i="10" s="1"/>
  <c r="AE342" i="10"/>
  <c r="AL342" i="10" s="1"/>
  <c r="AE341" i="10"/>
  <c r="AL341" i="10" s="1"/>
  <c r="AE340" i="10"/>
  <c r="AL340" i="10" s="1"/>
  <c r="AE339" i="10"/>
  <c r="AL339" i="10" s="1"/>
  <c r="AE338" i="10"/>
  <c r="AL338" i="10" s="1"/>
  <c r="AE337" i="10"/>
  <c r="AL337" i="10" s="1"/>
  <c r="AE336" i="10"/>
  <c r="AL336" i="10" s="1"/>
  <c r="AE335" i="10"/>
  <c r="AL335" i="10" s="1"/>
  <c r="AE334" i="10"/>
  <c r="AL334" i="10" s="1"/>
  <c r="AE330" i="10"/>
  <c r="AL330" i="10" s="1"/>
  <c r="AE329" i="10"/>
  <c r="AL329" i="10" s="1"/>
  <c r="AE328" i="10"/>
  <c r="AL328" i="10" s="1"/>
  <c r="AE327" i="10"/>
  <c r="AL327" i="10" s="1"/>
  <c r="AE326" i="10"/>
  <c r="AL326" i="10" s="1"/>
  <c r="AE325" i="10"/>
  <c r="AL325" i="10" s="1"/>
  <c r="AE324" i="10"/>
  <c r="AL324" i="10" s="1"/>
  <c r="AE323" i="10"/>
  <c r="AL323" i="10" s="1"/>
  <c r="AE322" i="10"/>
  <c r="AL322" i="10" s="1"/>
  <c r="AE321" i="10"/>
  <c r="AL321" i="10" s="1"/>
  <c r="AE320" i="10"/>
  <c r="AL320" i="10" s="1"/>
  <c r="AE319" i="10"/>
  <c r="AL319" i="10" s="1"/>
  <c r="AE318" i="10"/>
  <c r="AL318" i="10" s="1"/>
  <c r="AE317" i="10"/>
  <c r="AL317" i="10" s="1"/>
  <c r="AE316" i="10"/>
  <c r="AL316" i="10" s="1"/>
  <c r="AE315" i="10"/>
  <c r="AL315" i="10" s="1"/>
  <c r="AE313" i="10"/>
  <c r="AL313" i="10" s="1"/>
  <c r="AE312" i="10"/>
  <c r="AL312" i="10" s="1"/>
  <c r="AE311" i="10"/>
  <c r="AL311" i="10" s="1"/>
  <c r="AE310" i="10"/>
  <c r="AL310" i="10" s="1"/>
  <c r="AE309" i="10"/>
  <c r="AL309" i="10" s="1"/>
  <c r="AE308" i="10"/>
  <c r="AL308" i="10" s="1"/>
  <c r="AE307" i="10"/>
  <c r="AL307" i="10" s="1"/>
  <c r="AE306" i="10"/>
  <c r="AL306" i="10" s="1"/>
  <c r="AE304" i="10"/>
  <c r="AL304" i="10" s="1"/>
  <c r="AE303" i="10"/>
  <c r="AL303" i="10" s="1"/>
  <c r="AE302" i="10"/>
  <c r="AL302" i="10" s="1"/>
  <c r="AE301" i="10"/>
  <c r="AL301" i="10" s="1"/>
  <c r="AE300" i="10"/>
  <c r="AL300" i="10" s="1"/>
  <c r="AE299" i="10"/>
  <c r="AL299" i="10" s="1"/>
  <c r="AE298" i="10"/>
  <c r="AL298" i="10" s="1"/>
  <c r="AE297" i="10"/>
  <c r="AL297" i="10" s="1"/>
  <c r="AE296" i="10"/>
  <c r="AL296" i="10" s="1"/>
  <c r="AE295" i="10"/>
  <c r="AL295" i="10" s="1"/>
  <c r="AE294" i="10"/>
  <c r="AL294" i="10" s="1"/>
  <c r="AE293" i="10"/>
  <c r="AL293" i="10" s="1"/>
  <c r="AE292" i="10"/>
  <c r="AL292" i="10" s="1"/>
  <c r="AE291" i="10"/>
  <c r="AL291" i="10" s="1"/>
  <c r="AE290" i="10"/>
  <c r="AL290" i="10" s="1"/>
  <c r="AE289" i="10"/>
  <c r="AL289" i="10" s="1"/>
  <c r="AE288" i="10"/>
  <c r="AL288" i="10" s="1"/>
  <c r="AE287" i="10"/>
  <c r="AL287" i="10" s="1"/>
  <c r="AE286" i="10"/>
  <c r="AL286" i="10" s="1"/>
  <c r="AE285" i="10"/>
  <c r="AL285" i="10" s="1"/>
  <c r="AE284" i="10"/>
  <c r="AL284" i="10" s="1"/>
  <c r="AE283" i="10"/>
  <c r="AL283" i="10" s="1"/>
  <c r="AE282" i="10"/>
  <c r="AL282" i="10" s="1"/>
  <c r="AE281" i="10"/>
  <c r="AL281" i="10" s="1"/>
  <c r="AE280" i="10"/>
  <c r="AL280" i="10" s="1"/>
  <c r="AE279" i="10"/>
  <c r="AL279" i="10" s="1"/>
  <c r="AE278" i="10"/>
  <c r="AL278" i="10" s="1"/>
  <c r="AE277" i="10"/>
  <c r="AL277" i="10" s="1"/>
  <c r="AE276" i="10"/>
  <c r="AL276" i="10" s="1"/>
  <c r="AE275" i="10"/>
  <c r="AL275" i="10" s="1"/>
  <c r="AE274" i="10"/>
  <c r="AL274" i="10" s="1"/>
  <c r="AE273" i="10"/>
  <c r="AL273" i="10" s="1"/>
  <c r="AE272" i="10"/>
  <c r="AL272" i="10" s="1"/>
  <c r="AE271" i="10"/>
  <c r="AL271" i="10" s="1"/>
  <c r="AE270" i="10"/>
  <c r="AL270" i="10" s="1"/>
  <c r="AE269" i="10"/>
  <c r="AL269" i="10" s="1"/>
  <c r="AE265" i="10"/>
  <c r="AL265" i="10" s="1"/>
  <c r="AE264" i="10"/>
  <c r="AL264" i="10" s="1"/>
  <c r="AE263" i="10"/>
  <c r="AL263" i="10" s="1"/>
  <c r="AE262" i="10"/>
  <c r="AL262" i="10" s="1"/>
  <c r="AE260" i="10"/>
  <c r="AL260" i="10" s="1"/>
  <c r="AE259" i="10"/>
  <c r="AL259" i="10" s="1"/>
  <c r="AE258" i="10"/>
  <c r="AL258" i="10" s="1"/>
  <c r="AE257" i="10"/>
  <c r="AL257" i="10" s="1"/>
  <c r="AE256" i="10"/>
  <c r="AL256" i="10" s="1"/>
  <c r="AE255" i="10"/>
  <c r="AL255" i="10" s="1"/>
  <c r="AE254" i="10"/>
  <c r="AL254" i="10" s="1"/>
  <c r="AE253" i="10"/>
  <c r="AL253" i="10" s="1"/>
  <c r="AE252" i="10"/>
  <c r="AL252" i="10" s="1"/>
  <c r="AE251" i="10"/>
  <c r="AL251" i="10" s="1"/>
  <c r="AE250" i="10"/>
  <c r="AL250" i="10" s="1"/>
  <c r="AE249" i="10"/>
  <c r="AL249" i="10" s="1"/>
  <c r="AE248" i="10"/>
  <c r="AL248" i="10" s="1"/>
  <c r="AE247" i="10"/>
  <c r="AL247" i="10" s="1"/>
  <c r="AE246" i="10"/>
  <c r="AL246" i="10" s="1"/>
  <c r="AE245" i="10"/>
  <c r="AL245" i="10" s="1"/>
  <c r="AE244" i="10"/>
  <c r="AL244" i="10" s="1"/>
  <c r="AE243" i="10"/>
  <c r="AL243" i="10" s="1"/>
  <c r="AE242" i="10"/>
  <c r="AL242" i="10" s="1"/>
  <c r="AE241" i="10"/>
  <c r="AL241" i="10" s="1"/>
  <c r="AE240" i="10"/>
  <c r="AL240" i="10" s="1"/>
  <c r="AE239" i="10"/>
  <c r="AL239" i="10" s="1"/>
  <c r="AE238" i="10"/>
  <c r="AL238" i="10" s="1"/>
  <c r="AE237" i="10"/>
  <c r="AL237" i="10" s="1"/>
  <c r="AE236" i="10"/>
  <c r="AL236" i="10" s="1"/>
  <c r="AE235" i="10"/>
  <c r="AL235" i="10" s="1"/>
  <c r="AE234" i="10"/>
  <c r="AL234" i="10" s="1"/>
  <c r="AE233" i="10"/>
  <c r="AL233" i="10" s="1"/>
  <c r="AE232" i="10"/>
  <c r="AL232" i="10" s="1"/>
  <c r="AE231" i="10"/>
  <c r="AL231" i="10" s="1"/>
  <c r="AE230" i="10"/>
  <c r="AL230" i="10" s="1"/>
  <c r="AE229" i="10"/>
  <c r="AL229" i="10" s="1"/>
  <c r="AE228" i="10"/>
  <c r="AL228" i="10" s="1"/>
  <c r="AE227" i="10"/>
  <c r="AL227" i="10" s="1"/>
  <c r="AE226" i="10"/>
  <c r="AL226" i="10" s="1"/>
  <c r="AE225" i="10"/>
  <c r="AL225" i="10" s="1"/>
  <c r="AE224" i="10"/>
  <c r="AL224" i="10" s="1"/>
  <c r="AE223" i="10"/>
  <c r="AL223" i="10" s="1"/>
  <c r="AE222" i="10"/>
  <c r="AL222" i="10" s="1"/>
  <c r="AE221" i="10"/>
  <c r="AL221" i="10" s="1"/>
  <c r="AE220" i="10"/>
  <c r="AL220" i="10" s="1"/>
  <c r="AE219" i="10"/>
  <c r="AL219" i="10" s="1"/>
  <c r="AE218" i="10"/>
  <c r="AL218" i="10" s="1"/>
  <c r="AE217" i="10"/>
  <c r="AL217" i="10" s="1"/>
  <c r="AE216" i="10"/>
  <c r="AL216" i="10" s="1"/>
  <c r="AE215" i="10"/>
  <c r="AL215" i="10" s="1"/>
  <c r="AE214" i="10"/>
  <c r="AL214" i="10" s="1"/>
  <c r="AE213" i="10"/>
  <c r="AL213" i="10" s="1"/>
  <c r="AE211" i="10"/>
  <c r="AL211" i="10" s="1"/>
  <c r="AE209" i="10"/>
  <c r="AL209" i="10" s="1"/>
  <c r="AE208" i="10"/>
  <c r="AL208" i="10" s="1"/>
  <c r="AE207" i="10"/>
  <c r="AL207" i="10" s="1"/>
  <c r="AE206" i="10"/>
  <c r="AL206" i="10" s="1"/>
  <c r="AE205" i="10"/>
  <c r="AL205" i="10" s="1"/>
  <c r="AE204" i="10"/>
  <c r="AL204" i="10" s="1"/>
  <c r="AE200" i="10"/>
  <c r="AL200" i="10" s="1"/>
  <c r="AE199" i="10"/>
  <c r="AL199" i="10" s="1"/>
  <c r="AE198" i="10"/>
  <c r="AL198" i="10" s="1"/>
  <c r="AE197" i="10"/>
  <c r="AL197" i="10" s="1"/>
  <c r="AE196" i="10"/>
  <c r="AL196" i="10" s="1"/>
  <c r="AE195" i="10"/>
  <c r="AL195" i="10" s="1"/>
  <c r="AE194" i="10"/>
  <c r="AL194" i="10" s="1"/>
  <c r="AE193" i="10"/>
  <c r="AL193" i="10" s="1"/>
  <c r="AE192" i="10"/>
  <c r="AL192" i="10" s="1"/>
  <c r="AE191" i="10"/>
  <c r="AL191" i="10" s="1"/>
  <c r="AE190" i="10"/>
  <c r="AL190" i="10" s="1"/>
  <c r="AE189" i="10"/>
  <c r="AL189" i="10" s="1"/>
  <c r="AE188" i="10"/>
  <c r="AL188" i="10" s="1"/>
  <c r="AE187" i="10"/>
  <c r="AL187" i="10" s="1"/>
  <c r="AE185" i="10"/>
  <c r="AL185" i="10" s="1"/>
  <c r="AE184" i="10"/>
  <c r="AL184" i="10" s="1"/>
  <c r="AE183" i="10"/>
  <c r="AL183" i="10" s="1"/>
  <c r="AE182" i="10"/>
  <c r="AL182" i="10" s="1"/>
  <c r="AE181" i="10"/>
  <c r="AL181" i="10" s="1"/>
  <c r="AE180" i="10"/>
  <c r="AL180" i="10" s="1"/>
  <c r="AE179" i="10"/>
  <c r="AL179" i="10" s="1"/>
  <c r="AE178" i="10"/>
  <c r="AL178" i="10" s="1"/>
  <c r="AE177" i="10"/>
  <c r="AL177" i="10" s="1"/>
  <c r="AE176" i="10"/>
  <c r="AL176" i="10" s="1"/>
  <c r="AE175" i="10"/>
  <c r="AL175" i="10" s="1"/>
  <c r="AE174" i="10"/>
  <c r="AL174" i="10" s="1"/>
  <c r="AE173" i="10"/>
  <c r="AL173" i="10" s="1"/>
  <c r="AE172" i="10"/>
  <c r="AL172" i="10" s="1"/>
  <c r="AE171" i="10"/>
  <c r="AL171" i="10" s="1"/>
  <c r="AE170" i="10"/>
  <c r="AL170" i="10" s="1"/>
  <c r="AE169" i="10"/>
  <c r="AL169" i="10" s="1"/>
  <c r="AE168" i="10"/>
  <c r="AL168" i="10" s="1"/>
  <c r="AE167" i="10"/>
  <c r="AL167" i="10" s="1"/>
  <c r="AE166" i="10"/>
  <c r="AL166" i="10" s="1"/>
  <c r="AE165" i="10"/>
  <c r="AL165" i="10" s="1"/>
  <c r="AE164" i="10"/>
  <c r="AL164" i="10" s="1"/>
  <c r="AE163" i="10"/>
  <c r="AL163" i="10" s="1"/>
  <c r="AE162" i="10"/>
  <c r="AL162" i="10" s="1"/>
  <c r="AE161" i="10"/>
  <c r="AL161" i="10" s="1"/>
  <c r="AE160" i="10"/>
  <c r="AL160" i="10" s="1"/>
  <c r="AE159" i="10"/>
  <c r="AL159" i="10" s="1"/>
  <c r="AE158" i="10"/>
  <c r="AL158" i="10" s="1"/>
  <c r="AE157" i="10"/>
  <c r="AL157" i="10" s="1"/>
  <c r="AE156" i="10"/>
  <c r="AL156" i="10" s="1"/>
  <c r="AE155" i="10"/>
  <c r="AL155" i="10" s="1"/>
  <c r="AE154" i="10"/>
  <c r="AL154" i="10" s="1"/>
  <c r="AE153" i="10"/>
  <c r="AL153" i="10" s="1"/>
  <c r="AE152" i="10"/>
  <c r="AL152" i="10" s="1"/>
  <c r="AE151" i="10"/>
  <c r="AL151" i="10" s="1"/>
  <c r="AE150" i="10"/>
  <c r="AL150" i="10" s="1"/>
  <c r="AE149" i="10"/>
  <c r="AL149" i="10" s="1"/>
  <c r="AE148" i="10"/>
  <c r="AL148" i="10" s="1"/>
  <c r="AE147" i="10"/>
  <c r="AL147" i="10" s="1"/>
  <c r="AE146" i="10"/>
  <c r="AL146" i="10" s="1"/>
  <c r="AE145" i="10"/>
  <c r="AL145" i="10" s="1"/>
  <c r="AE144" i="10"/>
  <c r="AL144" i="10" s="1"/>
  <c r="AE143" i="10"/>
  <c r="AL143" i="10" s="1"/>
  <c r="AE142" i="10"/>
  <c r="AL142" i="10" s="1"/>
  <c r="AE141" i="10"/>
  <c r="AL141" i="10" s="1"/>
  <c r="AE140" i="10"/>
  <c r="AL140" i="10" s="1"/>
  <c r="AE139" i="10"/>
  <c r="AL139" i="10" s="1"/>
  <c r="AE135" i="10"/>
  <c r="AL135" i="10" s="1"/>
  <c r="AE134" i="10"/>
  <c r="AL134" i="10" s="1"/>
  <c r="AE133" i="10"/>
  <c r="AL133" i="10" s="1"/>
  <c r="AE132" i="10"/>
  <c r="AL132" i="10" s="1"/>
  <c r="AE131" i="10"/>
  <c r="AL131" i="10" s="1"/>
  <c r="AE130" i="10"/>
  <c r="AL130" i="10" s="1"/>
  <c r="AE129" i="10"/>
  <c r="AL129" i="10" s="1"/>
  <c r="AE128" i="10"/>
  <c r="AL128" i="10" s="1"/>
  <c r="AE127" i="10"/>
  <c r="AL127" i="10" s="1"/>
  <c r="AE126" i="10"/>
  <c r="AL126" i="10" s="1"/>
  <c r="AE125" i="10"/>
  <c r="AL125" i="10" s="1"/>
  <c r="AE124" i="10"/>
  <c r="AL124" i="10" s="1"/>
  <c r="AE123" i="10"/>
  <c r="AL123" i="10" s="1"/>
  <c r="AE122" i="10"/>
  <c r="AL122" i="10" s="1"/>
  <c r="AE121" i="10"/>
  <c r="AL121" i="10" s="1"/>
  <c r="AE120" i="10"/>
  <c r="AL120" i="10" s="1"/>
  <c r="AE119" i="10"/>
  <c r="AL119" i="10" s="1"/>
  <c r="AE118" i="10"/>
  <c r="AL118" i="10" s="1"/>
  <c r="AE117" i="10"/>
  <c r="AL117" i="10" s="1"/>
  <c r="AE116" i="10"/>
  <c r="AL116" i="10" s="1"/>
  <c r="AE115" i="10"/>
  <c r="AL115" i="10" s="1"/>
  <c r="AE114" i="10"/>
  <c r="AL114" i="10" s="1"/>
  <c r="AE113" i="10"/>
  <c r="AL113" i="10" s="1"/>
  <c r="AE112" i="10"/>
  <c r="AL112" i="10" s="1"/>
  <c r="AE111" i="10"/>
  <c r="AL111" i="10" s="1"/>
  <c r="AE110" i="10"/>
  <c r="AL110" i="10" s="1"/>
  <c r="AE109" i="10"/>
  <c r="AL109" i="10" s="1"/>
  <c r="AE108" i="10"/>
  <c r="AL108" i="10" s="1"/>
  <c r="AE107" i="10"/>
  <c r="AL107" i="10" s="1"/>
  <c r="AE106" i="10"/>
  <c r="AL106" i="10" s="1"/>
  <c r="AE105" i="10"/>
  <c r="AL105" i="10" s="1"/>
  <c r="AE104" i="10"/>
  <c r="AL104" i="10" s="1"/>
  <c r="AE103" i="10"/>
  <c r="AL103" i="10" s="1"/>
  <c r="AE102" i="10"/>
  <c r="AL102" i="10" s="1"/>
  <c r="AE101" i="10"/>
  <c r="AL101" i="10" s="1"/>
  <c r="AE100" i="10"/>
  <c r="AL100" i="10" s="1"/>
  <c r="AE99" i="10"/>
  <c r="AL99" i="10" s="1"/>
  <c r="AE98" i="10"/>
  <c r="AL98" i="10" s="1"/>
  <c r="AE97" i="10"/>
  <c r="AL97" i="10" s="1"/>
  <c r="AE96" i="10"/>
  <c r="AL96" i="10" s="1"/>
  <c r="AE95" i="10"/>
  <c r="AL95" i="10" s="1"/>
  <c r="AE94" i="10"/>
  <c r="AL94" i="10" s="1"/>
  <c r="AE93" i="10"/>
  <c r="AL93" i="10" s="1"/>
  <c r="AE92" i="10"/>
  <c r="AL92" i="10" s="1"/>
  <c r="AE91" i="10"/>
  <c r="AL91" i="10" s="1"/>
  <c r="AE90" i="10"/>
  <c r="AL90" i="10" s="1"/>
  <c r="AE89" i="10"/>
  <c r="AL89" i="10" s="1"/>
  <c r="AE88" i="10"/>
  <c r="AL88" i="10" s="1"/>
  <c r="AE87" i="10"/>
  <c r="AL87" i="10" s="1"/>
  <c r="AE86" i="10"/>
  <c r="AL86" i="10" s="1"/>
  <c r="AE85" i="10"/>
  <c r="AL85" i="10" s="1"/>
  <c r="AE84" i="10"/>
  <c r="AL84" i="10" s="1"/>
  <c r="AE82" i="10"/>
  <c r="AL82" i="10" s="1"/>
  <c r="AE81" i="10"/>
  <c r="AL81" i="10" s="1"/>
  <c r="AE80" i="10"/>
  <c r="AL80" i="10" s="1"/>
  <c r="AE79" i="10"/>
  <c r="AL79" i="10" s="1"/>
  <c r="AE77" i="10"/>
  <c r="AL77" i="10" s="1"/>
  <c r="AE76" i="10"/>
  <c r="AL76" i="10" s="1"/>
  <c r="AE75" i="10"/>
  <c r="AL75" i="10" s="1"/>
  <c r="AE74" i="10"/>
  <c r="AL74" i="10" s="1"/>
  <c r="AE70" i="10"/>
  <c r="AL70" i="10" s="1"/>
  <c r="AE69" i="10"/>
  <c r="AL69" i="10" s="1"/>
  <c r="AE68" i="10"/>
  <c r="AL68" i="10" s="1"/>
  <c r="AE67" i="10"/>
  <c r="AL67" i="10" s="1"/>
  <c r="AE66" i="10"/>
  <c r="AL66" i="10" s="1"/>
  <c r="AE65" i="10"/>
  <c r="AL65" i="10" s="1"/>
  <c r="AE64" i="10"/>
  <c r="AL64" i="10" s="1"/>
  <c r="AE63" i="10"/>
  <c r="AL63" i="10" s="1"/>
  <c r="AE62" i="10"/>
  <c r="AL62" i="10" s="1"/>
  <c r="AE61" i="10"/>
  <c r="AL61" i="10" s="1"/>
  <c r="AE60" i="10"/>
  <c r="AL60" i="10" s="1"/>
  <c r="AE59" i="10"/>
  <c r="AL59" i="10" s="1"/>
  <c r="AE58" i="10"/>
  <c r="AL58" i="10" s="1"/>
  <c r="AE57" i="10"/>
  <c r="AL57" i="10" s="1"/>
  <c r="AE56" i="10"/>
  <c r="AL56" i="10" s="1"/>
  <c r="AE55" i="10"/>
  <c r="AL55" i="10" s="1"/>
  <c r="AE54" i="10"/>
  <c r="AL54" i="10" s="1"/>
  <c r="AE53" i="10"/>
  <c r="AL53" i="10" s="1"/>
  <c r="AE52" i="10"/>
  <c r="AL52" i="10" s="1"/>
  <c r="AE51" i="10"/>
  <c r="AL51" i="10" s="1"/>
  <c r="AE50" i="10"/>
  <c r="AL50" i="10" s="1"/>
  <c r="AE49" i="10"/>
  <c r="AL49" i="10" s="1"/>
  <c r="AE48" i="10"/>
  <c r="AL48" i="10" s="1"/>
  <c r="AE47" i="10"/>
  <c r="AL47" i="10" s="1"/>
  <c r="AE46" i="10"/>
  <c r="AL46" i="10" s="1"/>
  <c r="AE45" i="10"/>
  <c r="AL45" i="10" s="1"/>
  <c r="AE44" i="10"/>
  <c r="AL44" i="10" s="1"/>
  <c r="AE43" i="10"/>
  <c r="AL43" i="10" s="1"/>
  <c r="AE42" i="10"/>
  <c r="AL42" i="10" s="1"/>
  <c r="AE41" i="10"/>
  <c r="AL41" i="10" s="1"/>
  <c r="AE40" i="10"/>
  <c r="AL40" i="10" s="1"/>
  <c r="AE39" i="10"/>
  <c r="AL39" i="10" s="1"/>
  <c r="AE38" i="10"/>
  <c r="AL38" i="10" s="1"/>
  <c r="AE37" i="10"/>
  <c r="AL37" i="10" s="1"/>
  <c r="AE36" i="10"/>
  <c r="AL36" i="10" s="1"/>
  <c r="AE35" i="10"/>
  <c r="AL35" i="10" s="1"/>
  <c r="AE34" i="10"/>
  <c r="AL34" i="10" s="1"/>
  <c r="AE33" i="10"/>
  <c r="AL33" i="10" s="1"/>
  <c r="AE31" i="10"/>
  <c r="AL31" i="10" s="1"/>
  <c r="AE30" i="10"/>
  <c r="AL30" i="10" s="1"/>
  <c r="AE29" i="10"/>
  <c r="AL29" i="10" s="1"/>
  <c r="AE28" i="10"/>
  <c r="AL28" i="10" s="1"/>
  <c r="AE27" i="10"/>
  <c r="AL27" i="10" s="1"/>
  <c r="AE26" i="10"/>
  <c r="AL26" i="10" s="1"/>
  <c r="AE25" i="10"/>
  <c r="AL25" i="10" s="1"/>
  <c r="AE24" i="10"/>
  <c r="AL24" i="10" s="1"/>
  <c r="AE23" i="10"/>
  <c r="AL23" i="10" s="1"/>
  <c r="AE22" i="10"/>
  <c r="AL22" i="10" s="1"/>
  <c r="AE21" i="10"/>
  <c r="AL21" i="10" s="1"/>
  <c r="AE20" i="10"/>
  <c r="AL20" i="10" s="1"/>
  <c r="AE19" i="10"/>
  <c r="AL19" i="10" s="1"/>
  <c r="AE18" i="10"/>
  <c r="AL18" i="10" s="1"/>
  <c r="AE17" i="10"/>
  <c r="AL17" i="10" s="1"/>
  <c r="AE16" i="10"/>
  <c r="AL16" i="10" s="1"/>
  <c r="AE15" i="10"/>
  <c r="AL15" i="10" s="1"/>
  <c r="AE14" i="10"/>
  <c r="AL14" i="10" s="1"/>
  <c r="AE13" i="10"/>
  <c r="AL13" i="10" s="1"/>
  <c r="AE12" i="10"/>
  <c r="AL12" i="10" s="1"/>
  <c r="AE11" i="10"/>
  <c r="AL11" i="10" s="1"/>
  <c r="AE10" i="10"/>
  <c r="AL10" i="10" s="1"/>
  <c r="AN9" i="10"/>
  <c r="Q78" i="10"/>
  <c r="AE78" i="10" s="1"/>
  <c r="AL78" i="10" s="1"/>
  <c r="Q83" i="10"/>
  <c r="AE83" i="10" s="1"/>
  <c r="AL83" i="10" s="1"/>
  <c r="Q186" i="10"/>
  <c r="AE186" i="10" s="1"/>
  <c r="AL186" i="10" s="1"/>
  <c r="E210" i="10"/>
  <c r="Q210" i="10"/>
  <c r="Q212" i="10"/>
  <c r="AE212" i="10" s="1"/>
  <c r="AL212" i="10" s="1"/>
  <c r="AC261" i="10"/>
  <c r="AE261" i="10" s="1"/>
  <c r="AL261" i="10" s="1"/>
  <c r="E305" i="10"/>
  <c r="Q314" i="10"/>
  <c r="AE314" i="10" s="1"/>
  <c r="AL314" i="10" s="1"/>
  <c r="Q352" i="10"/>
  <c r="AE352" i="10" s="1"/>
  <c r="AL352" i="10" s="1"/>
  <c r="Q405" i="10"/>
  <c r="AE405" i="10" s="1"/>
  <c r="AL405" i="10" s="1"/>
  <c r="Q577" i="10"/>
  <c r="AE577" i="10" s="1"/>
  <c r="AL577" i="10" s="1"/>
  <c r="AE210" i="10" l="1"/>
  <c r="AL210" i="10" s="1"/>
  <c r="AE305" i="10"/>
  <c r="AL305" i="10" s="1"/>
  <c r="AO9" i="10"/>
  <c r="S109" i="8" l="1"/>
  <c r="O109" i="8"/>
  <c r="E109" i="8"/>
  <c r="AA25" i="6"/>
  <c r="Q25" i="6"/>
  <c r="W473" i="8"/>
  <c r="E473" i="8"/>
  <c r="AI473" i="8" s="1"/>
  <c r="AI109" i="8" l="1"/>
  <c r="S470" i="8"/>
  <c r="AI470" i="8" s="1"/>
  <c r="U108" i="6"/>
  <c r="Q106" i="6"/>
  <c r="S464" i="8"/>
  <c r="AI464" i="8" s="1"/>
  <c r="Q463" i="8"/>
  <c r="I463" i="8"/>
  <c r="W454" i="2"/>
  <c r="AE454" i="2" s="1"/>
  <c r="AL454" i="2" s="1"/>
  <c r="U454" i="8"/>
  <c r="AI454" i="8" s="1"/>
  <c r="Q104" i="6"/>
  <c r="S452" i="8"/>
  <c r="AI452" i="8" s="1"/>
  <c r="Q103" i="6"/>
  <c r="Q449" i="2"/>
  <c r="AE449" i="2" s="1"/>
  <c r="M449" i="8"/>
  <c r="K449" i="8"/>
  <c r="AI449" i="8" s="1"/>
  <c r="S437" i="8"/>
  <c r="AI437" i="8" s="1"/>
  <c r="S100" i="6"/>
  <c r="Q100" i="6"/>
  <c r="AA90" i="6"/>
  <c r="AL449" i="2" l="1"/>
  <c r="AI463" i="8"/>
  <c r="G88" i="6"/>
  <c r="U597" i="2" l="1"/>
  <c r="AE597" i="2" s="1"/>
  <c r="AL597" i="2" s="1"/>
  <c r="S594" i="8"/>
  <c r="AI594" i="8" s="1"/>
  <c r="Q134" i="6"/>
  <c r="Q578" i="2"/>
  <c r="AE578" i="2" s="1"/>
  <c r="AL578" i="2" s="1"/>
  <c r="U578" i="8"/>
  <c r="O578" i="8"/>
  <c r="S561" i="8"/>
  <c r="I561" i="8"/>
  <c r="AI561" i="8" s="1"/>
  <c r="AI578" i="8" l="1"/>
  <c r="E554" i="8"/>
  <c r="AI554" i="8" s="1"/>
  <c r="I547" i="8"/>
  <c r="AI547" i="8" s="1"/>
  <c r="Q529" i="2"/>
  <c r="AE529" i="2" s="1"/>
  <c r="AL529" i="2" s="1"/>
  <c r="S513" i="8"/>
  <c r="AI513" i="8" s="1"/>
  <c r="Q87" i="6" l="1"/>
  <c r="G87" i="6"/>
  <c r="I87" i="6"/>
  <c r="E87" i="6"/>
  <c r="Q406" i="2" l="1"/>
  <c r="AE406" i="2" s="1"/>
  <c r="AL406" i="2" s="1"/>
  <c r="AA87" i="6"/>
  <c r="K87" i="6"/>
  <c r="Q86" i="6"/>
  <c r="S390" i="8"/>
  <c r="I390" i="8"/>
  <c r="I385" i="8"/>
  <c r="AI385" i="8" s="1"/>
  <c r="Q84" i="6"/>
  <c r="S84" i="6"/>
  <c r="S370" i="8"/>
  <c r="AI370" i="8" s="1"/>
  <c r="Q82" i="6"/>
  <c r="S363" i="2"/>
  <c r="O363" i="2"/>
  <c r="M363" i="2"/>
  <c r="E363" i="2"/>
  <c r="S363" i="8"/>
  <c r="Q363" i="8"/>
  <c r="O363" i="8"/>
  <c r="I363" i="8"/>
  <c r="W357" i="8"/>
  <c r="S357" i="8"/>
  <c r="O357" i="8"/>
  <c r="M357" i="8"/>
  <c r="E357" i="8"/>
  <c r="AA78" i="6"/>
  <c r="AC78" i="6"/>
  <c r="Q78" i="6"/>
  <c r="Q353" i="2"/>
  <c r="O353" i="2"/>
  <c r="E353" i="8"/>
  <c r="I353" i="8"/>
  <c r="AE363" i="2" l="1"/>
  <c r="AL363" i="2" s="1"/>
  <c r="AE353" i="2"/>
  <c r="AL353" i="2" s="1"/>
  <c r="AI353" i="8"/>
  <c r="AI357" i="8"/>
  <c r="AI363" i="8"/>
  <c r="AI390" i="8"/>
  <c r="Q343" i="2"/>
  <c r="U343" i="2"/>
  <c r="S340" i="8"/>
  <c r="O340" i="8"/>
  <c r="E340" i="8"/>
  <c r="S328" i="8"/>
  <c r="AI328" i="8" s="1"/>
  <c r="Q327" i="2"/>
  <c r="S327" i="2"/>
  <c r="AE327" i="8"/>
  <c r="Q327" i="8"/>
  <c r="O327" i="8"/>
  <c r="M327" i="8"/>
  <c r="I327" i="8"/>
  <c r="U325" i="2"/>
  <c r="Q325" i="2"/>
  <c r="I325" i="2"/>
  <c r="G325" i="2"/>
  <c r="Q325" i="8"/>
  <c r="I325" i="8"/>
  <c r="E325" i="8"/>
  <c r="AE74" i="6"/>
  <c r="AA74" i="6"/>
  <c r="Q315" i="2"/>
  <c r="AE315" i="2" s="1"/>
  <c r="AL315" i="2" s="1"/>
  <c r="E306" i="2"/>
  <c r="AE306" i="2" s="1"/>
  <c r="AL306" i="2" s="1"/>
  <c r="AE343" i="2" l="1"/>
  <c r="AL343" i="2" s="1"/>
  <c r="AE325" i="2"/>
  <c r="AL325" i="2" s="1"/>
  <c r="AE327" i="2"/>
  <c r="AL327" i="2" s="1"/>
  <c r="AI340" i="8"/>
  <c r="AI325" i="8"/>
  <c r="AI327" i="8"/>
  <c r="Q71" i="6"/>
  <c r="M290" i="2"/>
  <c r="AE290" i="2" s="1"/>
  <c r="AL290" i="2" s="1"/>
  <c r="E290" i="8"/>
  <c r="AI290" i="8" s="1"/>
  <c r="I285" i="8"/>
  <c r="AI285" i="8" s="1"/>
  <c r="AA67" i="6"/>
  <c r="AE67" i="6"/>
  <c r="E273" i="2"/>
  <c r="AE273" i="2" s="1"/>
  <c r="AL273" i="2" s="1"/>
  <c r="S270" i="8"/>
  <c r="I270" i="8"/>
  <c r="AC261" i="2"/>
  <c r="K261" i="2"/>
  <c r="AE261" i="2" s="1"/>
  <c r="AL261" i="2" s="1"/>
  <c r="S261" i="8"/>
  <c r="AI261" i="8" s="1"/>
  <c r="AI270" i="8" l="1"/>
  <c r="S234" i="8"/>
  <c r="I234" i="8"/>
  <c r="Q232" i="2"/>
  <c r="AE232" i="2" s="1"/>
  <c r="AL232" i="2" s="1"/>
  <c r="S232" i="8"/>
  <c r="O232" i="8"/>
  <c r="I232" i="8"/>
  <c r="S55" i="6"/>
  <c r="Q55" i="6"/>
  <c r="U227" i="2"/>
  <c r="S227" i="2"/>
  <c r="Q227" i="2"/>
  <c r="M227" i="2"/>
  <c r="E227" i="2"/>
  <c r="AA227" i="8"/>
  <c r="S227" i="8"/>
  <c r="O227" i="8"/>
  <c r="M227" i="8"/>
  <c r="I227" i="8"/>
  <c r="O215" i="8"/>
  <c r="AI215" i="8" s="1"/>
  <c r="Q50" i="6"/>
  <c r="Q49" i="6"/>
  <c r="AC212" i="2"/>
  <c r="Q212" i="2"/>
  <c r="W212" i="2"/>
  <c r="S212" i="2"/>
  <c r="O212" i="2"/>
  <c r="E212" i="2"/>
  <c r="Q212" i="8"/>
  <c r="O212" i="8"/>
  <c r="M212" i="8"/>
  <c r="I212" i="8"/>
  <c r="G212" i="8"/>
  <c r="E212" i="8"/>
  <c r="Q148" i="6"/>
  <c r="AE227" i="2" l="1"/>
  <c r="AL227" i="2" s="1"/>
  <c r="AE212" i="2"/>
  <c r="AL212" i="2" s="1"/>
  <c r="AI232" i="8"/>
  <c r="AI234" i="8"/>
  <c r="AI227" i="8"/>
  <c r="AI212" i="8"/>
  <c r="E679" i="2"/>
  <c r="AE679" i="2" s="1"/>
  <c r="S679" i="8"/>
  <c r="Q679" i="8"/>
  <c r="M679" i="8"/>
  <c r="E679" i="8"/>
  <c r="S667" i="8"/>
  <c r="AI667" i="8" s="1"/>
  <c r="AL670" i="2" s="1"/>
  <c r="Q666" i="2"/>
  <c r="E666" i="2"/>
  <c r="Q663" i="8"/>
  <c r="I663" i="8"/>
  <c r="E663" i="8"/>
  <c r="E650" i="8"/>
  <c r="AI650" i="8" s="1"/>
  <c r="AL650" i="2" s="1"/>
  <c r="S649" i="2"/>
  <c r="I649" i="2"/>
  <c r="O646" i="8"/>
  <c r="E646" i="8"/>
  <c r="S637" i="8"/>
  <c r="E637" i="8"/>
  <c r="Q142" i="6"/>
  <c r="Q141" i="6"/>
  <c r="O631" i="8"/>
  <c r="AI631" i="8" s="1"/>
  <c r="AL631" i="2" s="1"/>
  <c r="Q139" i="6"/>
  <c r="AE649" i="2" l="1"/>
  <c r="AL649" i="2" s="1"/>
  <c r="AE666" i="2"/>
  <c r="AI663" i="8"/>
  <c r="AI637" i="8"/>
  <c r="AL637" i="2" s="1"/>
  <c r="AI679" i="8"/>
  <c r="AL679" i="2" s="1"/>
  <c r="AI646" i="8"/>
  <c r="AL646" i="2" s="1"/>
  <c r="S614" i="2"/>
  <c r="Q614" i="2"/>
  <c r="O614" i="2"/>
  <c r="E614" i="2"/>
  <c r="S614" i="8"/>
  <c r="O614" i="8"/>
  <c r="M614" i="8"/>
  <c r="I614" i="8"/>
  <c r="G614" i="8"/>
  <c r="AA45" i="6"/>
  <c r="Q186" i="2"/>
  <c r="AE186" i="2" s="1"/>
  <c r="S186" i="8"/>
  <c r="O186" i="8"/>
  <c r="I186" i="8"/>
  <c r="E186" i="8"/>
  <c r="O177" i="8"/>
  <c r="AI177" i="8" s="1"/>
  <c r="AL177" i="2" s="1"/>
  <c r="Q42" i="6"/>
  <c r="W160" i="8"/>
  <c r="AI160" i="8" s="1"/>
  <c r="AL160" i="2" s="1"/>
  <c r="I156" i="8"/>
  <c r="AI156" i="8" s="1"/>
  <c r="AL156" i="2" s="1"/>
  <c r="AA35" i="6"/>
  <c r="U155" i="2"/>
  <c r="O155" i="2"/>
  <c r="E155" i="2"/>
  <c r="AA155" i="8"/>
  <c r="I155" i="8"/>
  <c r="S155" i="8"/>
  <c r="Q155" i="8"/>
  <c r="E155" i="8"/>
  <c r="S153" i="8"/>
  <c r="O153" i="8"/>
  <c r="S34" i="6"/>
  <c r="Q34" i="6"/>
  <c r="Y151" i="2"/>
  <c r="W151" i="2"/>
  <c r="U151" i="2"/>
  <c r="S151" i="2"/>
  <c r="E151" i="2"/>
  <c r="S151" i="8"/>
  <c r="I151" i="8"/>
  <c r="G151" i="8"/>
  <c r="S135" i="8"/>
  <c r="AI135" i="8" s="1"/>
  <c r="AL135" i="2" s="1"/>
  <c r="Q131" i="2"/>
  <c r="AE131" i="2" s="1"/>
  <c r="S131" i="8"/>
  <c r="AI131" i="8" s="1"/>
  <c r="Q210" i="2"/>
  <c r="E210" i="2"/>
  <c r="AE210" i="2" s="1"/>
  <c r="S210" i="8"/>
  <c r="E210" i="8"/>
  <c r="AE48" i="6"/>
  <c r="AA48" i="6"/>
  <c r="Q48" i="6"/>
  <c r="I128" i="8"/>
  <c r="AI128" i="8" s="1"/>
  <c r="AL128" i="2" s="1"/>
  <c r="E121" i="2"/>
  <c r="AE121" i="2" s="1"/>
  <c r="Q121" i="8"/>
  <c r="I121" i="8"/>
  <c r="E121" i="8"/>
  <c r="Q110" i="2"/>
  <c r="AE110" i="2" s="1"/>
  <c r="E110" i="8"/>
  <c r="O110" i="8"/>
  <c r="Q26" i="6"/>
  <c r="S26" i="6"/>
  <c r="AL666" i="2" l="1"/>
  <c r="AL131" i="2"/>
  <c r="AE155" i="2"/>
  <c r="AE151" i="2"/>
  <c r="AE614" i="2"/>
  <c r="AI210" i="8"/>
  <c r="AL210" i="2" s="1"/>
  <c r="AI153" i="8"/>
  <c r="AL153" i="2" s="1"/>
  <c r="AI121" i="8"/>
  <c r="AL121" i="2" s="1"/>
  <c r="AI110" i="8"/>
  <c r="AL110" i="2" s="1"/>
  <c r="AI614" i="8"/>
  <c r="AI151" i="8"/>
  <c r="AI155" i="8"/>
  <c r="AI186" i="8"/>
  <c r="AL186" i="2" s="1"/>
  <c r="S90" i="8"/>
  <c r="E90" i="8"/>
  <c r="AA23" i="6"/>
  <c r="Q23" i="6"/>
  <c r="Q84" i="2"/>
  <c r="AE84" i="2" s="1"/>
  <c r="S84" i="8"/>
  <c r="O84" i="8"/>
  <c r="K83" i="2"/>
  <c r="S83" i="2"/>
  <c r="AL614" i="2" l="1"/>
  <c r="AL151" i="2"/>
  <c r="AL155" i="2"/>
  <c r="AE83" i="2"/>
  <c r="AL83" i="2" s="1"/>
  <c r="AI84" i="8"/>
  <c r="AL84" i="2" s="1"/>
  <c r="AI90" i="8"/>
  <c r="AL90" i="2" s="1"/>
  <c r="E82" i="2"/>
  <c r="AE82" i="2" s="1"/>
  <c r="S82" i="8"/>
  <c r="I82" i="8"/>
  <c r="E82" i="8"/>
  <c r="Q78" i="2"/>
  <c r="AE78" i="2" s="1"/>
  <c r="S78" i="8"/>
  <c r="O78" i="8"/>
  <c r="I78" i="8"/>
  <c r="E78" i="8"/>
  <c r="S76" i="8"/>
  <c r="AI76" i="8" s="1"/>
  <c r="AL76" i="2" s="1"/>
  <c r="AI78" i="8" l="1"/>
  <c r="AL78" i="2" s="1"/>
  <c r="AI82" i="8"/>
  <c r="AL82" i="2" s="1"/>
  <c r="Q20" i="6"/>
  <c r="S52" i="8" l="1"/>
  <c r="AI52" i="8" s="1"/>
  <c r="AL52" i="2" s="1"/>
  <c r="E46" i="8"/>
  <c r="AI46" i="8" s="1"/>
  <c r="AL46" i="2" s="1"/>
  <c r="AA15" i="6"/>
  <c r="Q15" i="6"/>
  <c r="S22" i="2"/>
  <c r="Q22" i="2"/>
  <c r="E22" i="2"/>
  <c r="I22" i="8"/>
  <c r="E22" i="8"/>
  <c r="O11" i="2"/>
  <c r="AE11" i="2" s="1"/>
  <c r="E11" i="8"/>
  <c r="AI11" i="8" s="1"/>
  <c r="I10" i="8"/>
  <c r="AL11" i="2" l="1"/>
  <c r="AE22" i="2"/>
  <c r="AI22" i="8"/>
  <c r="AK15" i="6"/>
  <c r="M15" i="6"/>
  <c r="AL22" i="2" l="1"/>
  <c r="AM15" i="6"/>
  <c r="AQ12" i="6" s="1"/>
  <c r="AU27" i="6" l="1"/>
  <c r="AU40" i="6"/>
  <c r="AU22" i="6"/>
  <c r="AU41" i="6"/>
  <c r="AS12" i="6"/>
  <c r="M71" i="6"/>
  <c r="M74" i="6"/>
  <c r="M148" i="6"/>
  <c r="M108" i="6"/>
  <c r="M84" i="6"/>
  <c r="M35" i="6"/>
  <c r="AM35" i="6" s="1"/>
  <c r="M88" i="6"/>
  <c r="M141" i="6"/>
  <c r="M103" i="6"/>
  <c r="M25" i="6"/>
  <c r="AM25" i="6" s="1"/>
  <c r="M26" i="6"/>
  <c r="AM26" i="6" s="1"/>
  <c r="M100" i="6"/>
  <c r="M20" i="6"/>
  <c r="AM20" i="6" s="1"/>
  <c r="M34" i="6"/>
  <c r="AM34" i="6" s="1"/>
  <c r="M55" i="6"/>
  <c r="M50" i="6"/>
  <c r="M42" i="6"/>
  <c r="AM42" i="6" s="1"/>
  <c r="M123" i="6"/>
  <c r="M67" i="6"/>
  <c r="M139" i="6"/>
  <c r="M82" i="6"/>
  <c r="M142" i="6"/>
  <c r="M86" i="6"/>
  <c r="M48" i="6"/>
  <c r="M90" i="6"/>
  <c r="M134" i="6"/>
  <c r="M23" i="6"/>
  <c r="AM23" i="6" s="1"/>
  <c r="M49" i="6"/>
  <c r="M87" i="6"/>
  <c r="M106" i="6"/>
  <c r="M45" i="6"/>
  <c r="AM45" i="6" s="1"/>
  <c r="M129" i="6"/>
  <c r="M104" i="6"/>
  <c r="M78" i="6"/>
  <c r="AU20" i="6"/>
  <c r="AU32" i="6"/>
  <c r="AU12" i="6"/>
  <c r="AS104" i="6" l="1"/>
  <c r="AM104" i="6"/>
  <c r="AS87" i="6"/>
  <c r="AM87" i="6"/>
  <c r="AS90" i="6"/>
  <c r="AM90" i="6"/>
  <c r="AS82" i="6"/>
  <c r="AM82" i="6"/>
  <c r="AS103" i="6"/>
  <c r="AM103" i="6"/>
  <c r="AS84" i="6"/>
  <c r="AM84" i="6"/>
  <c r="AS71" i="6"/>
  <c r="AM71" i="6"/>
  <c r="AS129" i="6"/>
  <c r="AM129" i="6"/>
  <c r="AS49" i="6"/>
  <c r="AM49" i="6"/>
  <c r="AS48" i="6"/>
  <c r="AM48" i="6"/>
  <c r="AS139" i="6"/>
  <c r="AM139" i="6"/>
  <c r="AS50" i="6"/>
  <c r="AM50" i="6"/>
  <c r="AS100" i="6"/>
  <c r="AM100" i="6"/>
  <c r="AS141" i="6"/>
  <c r="AM141" i="6"/>
  <c r="AS108" i="6"/>
  <c r="AM108" i="6"/>
  <c r="AS86" i="6"/>
  <c r="AM86" i="6"/>
  <c r="AS67" i="6"/>
  <c r="AM67" i="6"/>
  <c r="AS55" i="6"/>
  <c r="AM55" i="6"/>
  <c r="AS88" i="6"/>
  <c r="AM88" i="6"/>
  <c r="AM148" i="6"/>
  <c r="AS148" i="6"/>
  <c r="AS78" i="6"/>
  <c r="AM78" i="6"/>
  <c r="AS106" i="6"/>
  <c r="AM106" i="6"/>
  <c r="AS134" i="6"/>
  <c r="AM134" i="6"/>
  <c r="AS142" i="6"/>
  <c r="AM142" i="6"/>
  <c r="AM123" i="6"/>
  <c r="AS123" i="6"/>
  <c r="AS74" i="6"/>
  <c r="AM74" i="6"/>
  <c r="AQ34" i="6"/>
  <c r="AY34" i="6" s="1"/>
  <c r="AQ40" i="6"/>
  <c r="AY40" i="6" s="1"/>
  <c r="AQ38" i="6"/>
  <c r="AY38" i="6" s="1"/>
  <c r="AQ30" i="6"/>
  <c r="AY30" i="6" s="1"/>
  <c r="AQ27" i="6"/>
  <c r="AY27" i="6" s="1"/>
  <c r="AQ43" i="6"/>
  <c r="AY43" i="6" s="1"/>
  <c r="AQ19" i="6"/>
  <c r="AY19" i="6" s="1"/>
  <c r="AQ37" i="6"/>
  <c r="AQ32" i="6"/>
  <c r="AY32" i="6" s="1"/>
  <c r="AQ41" i="6"/>
  <c r="AY41" i="6" s="1"/>
  <c r="AQ22" i="6"/>
  <c r="AY22" i="6" s="1"/>
  <c r="AQ17" i="6"/>
  <c r="AY17" i="6" s="1"/>
  <c r="AQ33" i="6"/>
  <c r="AY33" i="6" s="1"/>
  <c r="AQ20" i="6"/>
  <c r="AY20" i="6" s="1"/>
  <c r="AQ14" i="6"/>
  <c r="AY14" i="6" s="1"/>
  <c r="AQ13" i="6"/>
  <c r="AY13" i="6" s="1"/>
  <c r="AS46" i="6"/>
  <c r="AQ46" i="6"/>
  <c r="AY46" i="6" s="1"/>
  <c r="AU28" i="6"/>
  <c r="AS41" i="6"/>
  <c r="AS22" i="6"/>
  <c r="AS21" i="6"/>
  <c r="AS29" i="6"/>
  <c r="AS17" i="6"/>
  <c r="AS16" i="6"/>
  <c r="AS33" i="6"/>
  <c r="AU29" i="6"/>
  <c r="AQ44" i="6"/>
  <c r="AU15" i="6"/>
  <c r="AU25" i="6"/>
  <c r="AU21" i="6"/>
  <c r="AS44" i="6"/>
  <c r="AQ24" i="6"/>
  <c r="AQ18" i="6"/>
  <c r="AU16" i="6"/>
  <c r="AU31" i="6"/>
  <c r="AS37" i="6"/>
  <c r="AU39" i="6"/>
  <c r="AU38" i="6"/>
  <c r="AU23" i="6"/>
  <c r="AU45" i="6"/>
  <c r="AU43" i="6"/>
  <c r="AU34" i="6"/>
  <c r="AS45" i="6"/>
  <c r="AS43" i="6"/>
  <c r="AS23" i="6"/>
  <c r="AU19" i="6"/>
  <c r="AS39" i="6"/>
  <c r="AS32" i="6"/>
  <c r="AS34" i="6"/>
  <c r="AS24" i="6"/>
  <c r="AS38" i="6"/>
  <c r="AU13" i="6"/>
  <c r="AS25" i="6"/>
  <c r="AS35" i="6"/>
  <c r="AS15" i="6"/>
  <c r="AS28" i="6"/>
  <c r="AS20" i="6"/>
  <c r="AS14" i="6"/>
  <c r="AS31" i="6"/>
  <c r="AS19" i="6"/>
  <c r="AS13" i="6"/>
  <c r="AS30" i="6"/>
  <c r="AS27" i="6"/>
  <c r="AS36" i="6"/>
  <c r="AU17" i="6"/>
  <c r="AU42" i="6"/>
  <c r="AU30" i="6"/>
  <c r="AU14" i="6"/>
  <c r="AU37" i="6"/>
  <c r="AU46" i="6"/>
  <c r="AW12" i="6"/>
  <c r="AY12" i="6"/>
  <c r="AS18" i="6"/>
  <c r="AU33" i="6"/>
  <c r="AS40" i="6"/>
  <c r="AS42" i="6"/>
  <c r="AQ134" i="6" l="1"/>
  <c r="AY134" i="6" s="1"/>
  <c r="AW134" i="6"/>
  <c r="AQ78" i="6"/>
  <c r="AY78" i="6" s="1"/>
  <c r="AW78" i="6"/>
  <c r="AQ88" i="6"/>
  <c r="AY88" i="6" s="1"/>
  <c r="AW88" i="6"/>
  <c r="AQ67" i="6"/>
  <c r="AY67" i="6" s="1"/>
  <c r="AW67" i="6"/>
  <c r="AQ108" i="6"/>
  <c r="AY108" i="6" s="1"/>
  <c r="AW108" i="6"/>
  <c r="AQ100" i="6"/>
  <c r="AY100" i="6" s="1"/>
  <c r="AW100" i="6"/>
  <c r="AQ139" i="6"/>
  <c r="AY139" i="6" s="1"/>
  <c r="AW139" i="6"/>
  <c r="AQ49" i="6"/>
  <c r="AY49" i="6" s="1"/>
  <c r="AW49" i="6"/>
  <c r="AQ71" i="6"/>
  <c r="AY71" i="6" s="1"/>
  <c r="AW71" i="6"/>
  <c r="AQ103" i="6"/>
  <c r="AY103" i="6" s="1"/>
  <c r="AW103" i="6"/>
  <c r="AQ90" i="6"/>
  <c r="AY90" i="6" s="1"/>
  <c r="AW90" i="6"/>
  <c r="AQ104" i="6"/>
  <c r="AY104" i="6" s="1"/>
  <c r="AW104" i="6"/>
  <c r="AQ123" i="6"/>
  <c r="AY123" i="6" s="1"/>
  <c r="AW123" i="6"/>
  <c r="AQ74" i="6"/>
  <c r="AY74" i="6" s="1"/>
  <c r="AW74" i="6"/>
  <c r="AW142" i="6"/>
  <c r="AQ142" i="6"/>
  <c r="AY142" i="6" s="1"/>
  <c r="AQ106" i="6"/>
  <c r="AY106" i="6" s="1"/>
  <c r="AW106" i="6"/>
  <c r="AQ55" i="6"/>
  <c r="AY55" i="6" s="1"/>
  <c r="AW55" i="6"/>
  <c r="AQ86" i="6"/>
  <c r="AY86" i="6" s="1"/>
  <c r="AW86" i="6"/>
  <c r="AQ141" i="6"/>
  <c r="AY141" i="6" s="1"/>
  <c r="AW141" i="6"/>
  <c r="AQ50" i="6"/>
  <c r="AY50" i="6" s="1"/>
  <c r="AW50" i="6"/>
  <c r="AQ48" i="6"/>
  <c r="AY48" i="6" s="1"/>
  <c r="AW48" i="6"/>
  <c r="AQ129" i="6"/>
  <c r="AY129" i="6" s="1"/>
  <c r="AW129" i="6"/>
  <c r="AQ84" i="6"/>
  <c r="AY84" i="6" s="1"/>
  <c r="AW84" i="6"/>
  <c r="AQ82" i="6"/>
  <c r="AY82" i="6" s="1"/>
  <c r="AW82" i="6"/>
  <c r="AQ87" i="6"/>
  <c r="AY87" i="6" s="1"/>
  <c r="AW87" i="6"/>
  <c r="AQ148" i="6"/>
  <c r="AY148" i="6" s="1"/>
  <c r="AW148" i="6"/>
  <c r="AQ35" i="6"/>
  <c r="AY35" i="6" s="1"/>
  <c r="AQ45" i="6"/>
  <c r="AY45" i="6" s="1"/>
  <c r="AQ23" i="6"/>
  <c r="AY23" i="6" s="1"/>
  <c r="AW19" i="6"/>
  <c r="AW20" i="6"/>
  <c r="AW13" i="6"/>
  <c r="AW34" i="6"/>
  <c r="AW41" i="6"/>
  <c r="AW40" i="6"/>
  <c r="AW38" i="6"/>
  <c r="AW30" i="6"/>
  <c r="AW33" i="6"/>
  <c r="AQ28" i="6"/>
  <c r="AY28" i="6" s="1"/>
  <c r="AW27" i="6"/>
  <c r="AW23" i="6"/>
  <c r="AW22" i="6"/>
  <c r="AW46" i="6"/>
  <c r="AW45" i="6"/>
  <c r="AW43" i="6"/>
  <c r="AW17" i="6"/>
  <c r="AW14" i="6"/>
  <c r="AQ31" i="6"/>
  <c r="AY31" i="6" s="1"/>
  <c r="AQ16" i="6"/>
  <c r="AY16" i="6" s="1"/>
  <c r="AW32" i="6"/>
  <c r="AW18" i="6"/>
  <c r="AQ15" i="6"/>
  <c r="AY15" i="6" s="1"/>
  <c r="AW24" i="6"/>
  <c r="AY24" i="6"/>
  <c r="AW35" i="6"/>
  <c r="AQ39" i="6"/>
  <c r="AY39" i="6" s="1"/>
  <c r="AQ36" i="6"/>
  <c r="AY36" i="6" s="1"/>
  <c r="AU35" i="6"/>
  <c r="AY18" i="6"/>
  <c r="AU18" i="6"/>
  <c r="AU24" i="6"/>
  <c r="AY44" i="6"/>
  <c r="AW44" i="6"/>
  <c r="AQ42" i="6"/>
  <c r="AU36" i="6"/>
  <c r="AY37" i="6"/>
  <c r="AW37" i="6"/>
  <c r="AU44" i="6"/>
  <c r="AS11" i="6"/>
  <c r="AY11" i="6"/>
  <c r="AU11" i="6"/>
  <c r="AW11" i="6"/>
  <c r="AN9" i="2"/>
  <c r="AM9" i="2"/>
  <c r="AQ25" i="6" l="1"/>
  <c r="AY25" i="6" s="1"/>
  <c r="AQ26" i="6"/>
  <c r="AW28" i="6"/>
  <c r="AW15" i="6"/>
  <c r="AW16" i="6"/>
  <c r="AW25" i="6"/>
  <c r="AQ29" i="6"/>
  <c r="AY29" i="6" s="1"/>
  <c r="AW29" i="6"/>
  <c r="AW36" i="6"/>
  <c r="AW39" i="6"/>
  <c r="AW31" i="6"/>
  <c r="AQ21" i="6"/>
  <c r="AY21" i="6" s="1"/>
  <c r="AW21" i="6"/>
  <c r="AY42" i="6"/>
  <c r="AW42" i="6"/>
  <c r="AO9" i="2"/>
  <c r="AL9" i="8" l="1"/>
  <c r="AI10" i="8"/>
  <c r="AL10" i="2" s="1"/>
  <c r="AM9" i="8" l="1"/>
  <c r="AL9" i="2"/>
  <c r="AU26" i="6" l="1"/>
  <c r="AS26" i="6" l="1"/>
  <c r="AW26" i="6"/>
  <c r="AY26" i="6"/>
</calcChain>
</file>

<file path=xl/sharedStrings.xml><?xml version="1.0" encoding="utf-8"?>
<sst xmlns="http://schemas.openxmlformats.org/spreadsheetml/2006/main" count="5701" uniqueCount="858">
  <si>
    <t>West Union</t>
  </si>
  <si>
    <t>Winchester</t>
  </si>
  <si>
    <t>Beaverdam</t>
  </si>
  <si>
    <t>Elida</t>
  </si>
  <si>
    <t>Harrod</t>
  </si>
  <si>
    <t>Lafayette</t>
  </si>
  <si>
    <t>Spencerville</t>
  </si>
  <si>
    <t>Hayesville</t>
  </si>
  <si>
    <t>Mifflin</t>
  </si>
  <si>
    <t>Amesville</t>
  </si>
  <si>
    <t>Glouster</t>
  </si>
  <si>
    <t>Buckland</t>
  </si>
  <si>
    <t>New Knoxville</t>
  </si>
  <si>
    <t>Uniopolis</t>
  </si>
  <si>
    <t>Waynesfield</t>
  </si>
  <si>
    <t>Bethesda</t>
  </si>
  <si>
    <t>Brookside</t>
  </si>
  <si>
    <t>Holloway</t>
  </si>
  <si>
    <t>Morristown</t>
  </si>
  <si>
    <t>Powhatan Point</t>
  </si>
  <si>
    <t>Shadyside</t>
  </si>
  <si>
    <t>Fayetteville</t>
  </si>
  <si>
    <t>Georgetown</t>
  </si>
  <si>
    <t>Hamersville</t>
  </si>
  <si>
    <t>Mt. Orab</t>
  </si>
  <si>
    <t>Sardinia</t>
  </si>
  <si>
    <t>Seven Mile</t>
  </si>
  <si>
    <t>Dellroy</t>
  </si>
  <si>
    <t>Leesville</t>
  </si>
  <si>
    <t>Malvern</t>
  </si>
  <si>
    <t>Sherrodsville</t>
  </si>
  <si>
    <t>Christiansburg</t>
  </si>
  <si>
    <t>St. Paris</t>
  </si>
  <si>
    <t>Catawba</t>
  </si>
  <si>
    <t>South Vienna</t>
  </si>
  <si>
    <t>Amelia</t>
  </si>
  <si>
    <t>Neville</t>
  </si>
  <si>
    <t>New Richmond</t>
  </si>
  <si>
    <t>Owensville</t>
  </si>
  <si>
    <t>Williamsburg</t>
  </si>
  <si>
    <t>New Vienna</t>
  </si>
  <si>
    <t>Leetonia</t>
  </si>
  <si>
    <t>Lisbon</t>
  </si>
  <si>
    <t>Rogers</t>
  </si>
  <si>
    <t>Salineville</t>
  </si>
  <si>
    <t>Summitville</t>
  </si>
  <si>
    <t>Washingtonville</t>
  </si>
  <si>
    <t>Glenwillow</t>
  </si>
  <si>
    <t>Walton Hills</t>
  </si>
  <si>
    <t>Gettysburg</t>
  </si>
  <si>
    <t>Ney</t>
  </si>
  <si>
    <t>Sherwood</t>
  </si>
  <si>
    <t>Galena</t>
  </si>
  <si>
    <t>Bay View</t>
  </si>
  <si>
    <t>Berlin Heights</t>
  </si>
  <si>
    <t>Castalia</t>
  </si>
  <si>
    <t>Bremen</t>
  </si>
  <si>
    <t>Carroll</t>
  </si>
  <si>
    <t>Millersport</t>
  </si>
  <si>
    <t>Pleasantville</t>
  </si>
  <si>
    <t>Rushville</t>
  </si>
  <si>
    <t>Sugar Grove</t>
  </si>
  <si>
    <t>Thurston</t>
  </si>
  <si>
    <t>Bloomingburg</t>
  </si>
  <si>
    <t>Jeffersonville</t>
  </si>
  <si>
    <t>Milledgeville</t>
  </si>
  <si>
    <t>Octa</t>
  </si>
  <si>
    <t>Brice</t>
  </si>
  <si>
    <t>Marble Cliff</t>
  </si>
  <si>
    <t>Minerva Park</t>
  </si>
  <si>
    <t>Obetz</t>
  </si>
  <si>
    <t>Urbancrest</t>
  </si>
  <si>
    <t>Valleyview</t>
  </si>
  <si>
    <t>Lyons</t>
  </si>
  <si>
    <t>Cheshire</t>
  </si>
  <si>
    <t>Crown City</t>
  </si>
  <si>
    <t>Rio Grande</t>
  </si>
  <si>
    <t>Vinton</t>
  </si>
  <si>
    <t>Bowersville</t>
  </si>
  <si>
    <t>Jamestown</t>
  </si>
  <si>
    <t>Spring Valley</t>
  </si>
  <si>
    <t>Byesville</t>
  </si>
  <si>
    <t>Cumberland</t>
  </si>
  <si>
    <t>Lore City</t>
  </si>
  <si>
    <t>Quaker City</t>
  </si>
  <si>
    <t>Senecaville</t>
  </si>
  <si>
    <t>Addyston</t>
  </si>
  <si>
    <t>Elmwood Place</t>
  </si>
  <si>
    <t>Fairfax</t>
  </si>
  <si>
    <t>Greenhills</t>
  </si>
  <si>
    <t>Lockland</t>
  </si>
  <si>
    <t>Newtown</t>
  </si>
  <si>
    <t>North Bend</t>
  </si>
  <si>
    <t>Arlington</t>
  </si>
  <si>
    <t>Mount Victory</t>
  </si>
  <si>
    <t>Cadiz</t>
  </si>
  <si>
    <t>Hopedale</t>
  </si>
  <si>
    <t>Jewett</t>
  </si>
  <si>
    <t>New Athens</t>
  </si>
  <si>
    <t>Deshler</t>
  </si>
  <si>
    <t>Florida</t>
  </si>
  <si>
    <t>Liberty Center</t>
  </si>
  <si>
    <t>Malinta</t>
  </si>
  <si>
    <t>Mcclure</t>
  </si>
  <si>
    <t>New Bavaria</t>
  </si>
  <si>
    <t>Lynchburg</t>
  </si>
  <si>
    <t>Laurelville</t>
  </si>
  <si>
    <t>Murray City</t>
  </si>
  <si>
    <t>Greenwich</t>
  </si>
  <si>
    <t>Oak Hill</t>
  </si>
  <si>
    <t>Bloomingdale</t>
  </si>
  <si>
    <t>Dillonvale</t>
  </si>
  <si>
    <t>Irondale</t>
  </si>
  <si>
    <t>Richmond</t>
  </si>
  <si>
    <t>Centerburg</t>
  </si>
  <si>
    <t>Martinsburg</t>
  </si>
  <si>
    <t>North Perry</t>
  </si>
  <si>
    <t>Coal Grove</t>
  </si>
  <si>
    <t>Hanging Rock</t>
  </si>
  <si>
    <t>Proctorville</t>
  </si>
  <si>
    <t>South Point</t>
  </si>
  <si>
    <t>Alexandria</t>
  </si>
  <si>
    <t>Buckeye Lake</t>
  </si>
  <si>
    <t>Belle Center</t>
  </si>
  <si>
    <t>Huntsville</t>
  </si>
  <si>
    <t>Quincy</t>
  </si>
  <si>
    <t>West Liberty</t>
  </si>
  <si>
    <t>Kipton</t>
  </si>
  <si>
    <t>Lagrange</t>
  </si>
  <si>
    <t>Rochester</t>
  </si>
  <si>
    <t>Berkey</t>
  </si>
  <si>
    <t>Harbor View</t>
  </si>
  <si>
    <t>Mount Sterling</t>
  </si>
  <si>
    <t>South Solon</t>
  </si>
  <si>
    <t>Beloit</t>
  </si>
  <si>
    <t>Craig Beach</t>
  </si>
  <si>
    <t>Poland</t>
  </si>
  <si>
    <t>Caledonia</t>
  </si>
  <si>
    <t>Green Camp</t>
  </si>
  <si>
    <t>New Bloomington</t>
  </si>
  <si>
    <t>Prospect</t>
  </si>
  <si>
    <t>Waldo</t>
  </si>
  <si>
    <t>Chippewa Lake</t>
  </si>
  <si>
    <t>Gloria Glens Park</t>
  </si>
  <si>
    <t>Seville</t>
  </si>
  <si>
    <t>Middleport</t>
  </si>
  <si>
    <t>Racine</t>
  </si>
  <si>
    <t>Syracuse</t>
  </si>
  <si>
    <t>Montezuma</t>
  </si>
  <si>
    <t>Laura</t>
  </si>
  <si>
    <t>Pleasant Hill</t>
  </si>
  <si>
    <t>Beallsville</t>
  </si>
  <si>
    <t>Woodsfield</t>
  </si>
  <si>
    <t>Farmersville</t>
  </si>
  <si>
    <t>Mcconnelsville</t>
  </si>
  <si>
    <t>Stockport</t>
  </si>
  <si>
    <t>Cardington</t>
  </si>
  <si>
    <t>Chesterville</t>
  </si>
  <si>
    <t>Edison</t>
  </si>
  <si>
    <t>Marengo</t>
  </si>
  <si>
    <t>Dresden</t>
  </si>
  <si>
    <t>Frazeysburg</t>
  </si>
  <si>
    <t>Norwich</t>
  </si>
  <si>
    <t>Caldwell</t>
  </si>
  <si>
    <t>Summerfield</t>
  </si>
  <si>
    <t>Clay Center</t>
  </si>
  <si>
    <t>Elmore</t>
  </si>
  <si>
    <t>Put-In-Bay</t>
  </si>
  <si>
    <t>Cecil</t>
  </si>
  <si>
    <t>Haviland</t>
  </si>
  <si>
    <t>Latty</t>
  </si>
  <si>
    <t>Melrose</t>
  </si>
  <si>
    <t>Corning</t>
  </si>
  <si>
    <t>Shawnee</t>
  </si>
  <si>
    <t>New Holland</t>
  </si>
  <si>
    <t>Orient</t>
  </si>
  <si>
    <t>Tarlton</t>
  </si>
  <si>
    <t>Williamsport</t>
  </si>
  <si>
    <t>Beaver</t>
  </si>
  <si>
    <t>Hiram</t>
  </si>
  <si>
    <t>Mantua</t>
  </si>
  <si>
    <t>Sugar Bush Knolls</t>
  </si>
  <si>
    <t>Windham</t>
  </si>
  <si>
    <t>Camden</t>
  </si>
  <si>
    <t>College Corner</t>
  </si>
  <si>
    <t>Eldorado</t>
  </si>
  <si>
    <t>Gratis</t>
  </si>
  <si>
    <t>Continental</t>
  </si>
  <si>
    <t>Dupont</t>
  </si>
  <si>
    <t>Fort Jennings</t>
  </si>
  <si>
    <t>Gilboa</t>
  </si>
  <si>
    <t>Miller City</t>
  </si>
  <si>
    <t>Ottawa</t>
  </si>
  <si>
    <t>Bellville</t>
  </si>
  <si>
    <t>Plymouth</t>
  </si>
  <si>
    <t>Adelphi</t>
  </si>
  <si>
    <t>Clarksburg</t>
  </si>
  <si>
    <t>Frankfort</t>
  </si>
  <si>
    <t>Kingston</t>
  </si>
  <si>
    <t>Helena</t>
  </si>
  <si>
    <t>Lindsey</t>
  </si>
  <si>
    <t>Otway</t>
  </si>
  <si>
    <t>South Webster</t>
  </si>
  <si>
    <t>Attica</t>
  </si>
  <si>
    <t>Green Springs</t>
  </si>
  <si>
    <t>New Riegel</t>
  </si>
  <si>
    <t>Anna</t>
  </si>
  <si>
    <t>Fort Loramie</t>
  </si>
  <si>
    <t>Jackson Center</t>
  </si>
  <si>
    <t>East Sparta</t>
  </si>
  <si>
    <t>Hills And Dales</t>
  </si>
  <si>
    <t>Limaville</t>
  </si>
  <si>
    <t>Meyers Lake</t>
  </si>
  <si>
    <t>Reminderville</t>
  </si>
  <si>
    <t>Orangeville</t>
  </si>
  <si>
    <t>West Farmington</t>
  </si>
  <si>
    <t>Yankee Lake</t>
  </si>
  <si>
    <t>Dennison</t>
  </si>
  <si>
    <t>Midvale</t>
  </si>
  <si>
    <t>Mineral City</t>
  </si>
  <si>
    <t>Zoar</t>
  </si>
  <si>
    <t>Magnetic Springs</t>
  </si>
  <si>
    <t>Milford Center</t>
  </si>
  <si>
    <t>Convoy</t>
  </si>
  <si>
    <t>Wren</t>
  </si>
  <si>
    <t>Maineville</t>
  </si>
  <si>
    <t>Morrow</t>
  </si>
  <si>
    <t>Pleasant Plain</t>
  </si>
  <si>
    <t>Lowell</t>
  </si>
  <si>
    <t>Lower Salem</t>
  </si>
  <si>
    <t>Matamoras</t>
  </si>
  <si>
    <t>Burbank</t>
  </si>
  <si>
    <t>Mount Eaton</t>
  </si>
  <si>
    <t>West Salem</t>
  </si>
  <si>
    <t>Blakeslee</t>
  </si>
  <si>
    <t>Edon</t>
  </si>
  <si>
    <t>Custar</t>
  </si>
  <si>
    <t>Grand Rapids</t>
  </si>
  <si>
    <t>Haskins</t>
  </si>
  <si>
    <t>Hoytville</t>
  </si>
  <si>
    <t>Millbury</t>
  </si>
  <si>
    <t>Portage</t>
  </si>
  <si>
    <t>Risingsun</t>
  </si>
  <si>
    <t>Walbridge</t>
  </si>
  <si>
    <t>West Millgrove</t>
  </si>
  <si>
    <t>Weston</t>
  </si>
  <si>
    <t>Harpster</t>
  </si>
  <si>
    <t>Kirby</t>
  </si>
  <si>
    <t>Sycamore</t>
  </si>
  <si>
    <t>Holiday City</t>
  </si>
  <si>
    <t>South Bloomfield</t>
  </si>
  <si>
    <t>Geneva On The Lake</t>
  </si>
  <si>
    <t>Albany</t>
  </si>
  <si>
    <t>Athens</t>
  </si>
  <si>
    <t>Buchtel</t>
  </si>
  <si>
    <t>Chauncey</t>
  </si>
  <si>
    <t>Cridersville</t>
  </si>
  <si>
    <t>Auglaize</t>
  </si>
  <si>
    <t>Minster</t>
  </si>
  <si>
    <t>New Bremen</t>
  </si>
  <si>
    <t>Barnesville</t>
  </si>
  <si>
    <t>Belmont</t>
  </si>
  <si>
    <t>Bellaire</t>
  </si>
  <si>
    <t>Bridgeport</t>
  </si>
  <si>
    <t>Aberdeen</t>
  </si>
  <si>
    <t>Brown</t>
  </si>
  <si>
    <t>Ripley</t>
  </si>
  <si>
    <t>Carrollton</t>
  </si>
  <si>
    <t>Mechanicsburg</t>
  </si>
  <si>
    <t>Champaign</t>
  </si>
  <si>
    <t>Mutual</t>
  </si>
  <si>
    <t>North Lewisburg</t>
  </si>
  <si>
    <t>Woodstock</t>
  </si>
  <si>
    <t>Enon</t>
  </si>
  <si>
    <t>Clark</t>
  </si>
  <si>
    <t>North Hampton</t>
  </si>
  <si>
    <t>Batavia</t>
  </si>
  <si>
    <t>Clermont</t>
  </si>
  <si>
    <t>Bethel</t>
  </si>
  <si>
    <t>Moscow</t>
  </si>
  <si>
    <t>Clinton</t>
  </si>
  <si>
    <t>Port William</t>
  </si>
  <si>
    <t>Sabina</t>
  </si>
  <si>
    <t>Columbiana</t>
  </si>
  <si>
    <t>Wellsville</t>
  </si>
  <si>
    <t>Coshocton</t>
  </si>
  <si>
    <t>Nellie</t>
  </si>
  <si>
    <t>West Lafayette</t>
  </si>
  <si>
    <t>Chatfield</t>
  </si>
  <si>
    <t>Crawford</t>
  </si>
  <si>
    <t>New Washington</t>
  </si>
  <si>
    <t>North Robinson</t>
  </si>
  <si>
    <t>Bentleyville</t>
  </si>
  <si>
    <t>Cuyahoga</t>
  </si>
  <si>
    <t>Bratenahl</t>
  </si>
  <si>
    <t>Brooklyn Heights</t>
  </si>
  <si>
    <t>Chagrin Falls</t>
  </si>
  <si>
    <t>Gates Mills</t>
  </si>
  <si>
    <t>Hunting Valley</t>
  </si>
  <si>
    <t>Mayfield</t>
  </si>
  <si>
    <t>Moreland Hills</t>
  </si>
  <si>
    <t>Newburgh Heights</t>
  </si>
  <si>
    <t>Oakwood</t>
  </si>
  <si>
    <t>Valley View</t>
  </si>
  <si>
    <t>Woodmere</t>
  </si>
  <si>
    <t>Ansonia</t>
  </si>
  <si>
    <t>Darke</t>
  </si>
  <si>
    <t>Arcanum</t>
  </si>
  <si>
    <t>Gordon</t>
  </si>
  <si>
    <t>Hollansburg</t>
  </si>
  <si>
    <t>New Weston</t>
  </si>
  <si>
    <t xml:space="preserve">North Star </t>
  </si>
  <si>
    <t>Osgood</t>
  </si>
  <si>
    <t>Rossburg</t>
  </si>
  <si>
    <t>Union City</t>
  </si>
  <si>
    <t>Versailles</t>
  </si>
  <si>
    <t>Wayne Lakes</t>
  </si>
  <si>
    <t>Yorkshire</t>
  </si>
  <si>
    <t>Hicksville</t>
  </si>
  <si>
    <t>Defiance</t>
  </si>
  <si>
    <t>Delaware</t>
  </si>
  <si>
    <t>Ostrander</t>
  </si>
  <si>
    <t>Shawnee Hills</t>
  </si>
  <si>
    <t>Sunbury</t>
  </si>
  <si>
    <t>Milan</t>
  </si>
  <si>
    <t>Erie</t>
  </si>
  <si>
    <t>Baltimore</t>
  </si>
  <si>
    <t>Fairfield</t>
  </si>
  <si>
    <t>West Rushville</t>
  </si>
  <si>
    <t>Franklin</t>
  </si>
  <si>
    <t>Riverlea</t>
  </si>
  <si>
    <t>Archbold</t>
  </si>
  <si>
    <t>Fulton</t>
  </si>
  <si>
    <t>Delta</t>
  </si>
  <si>
    <t>Fayette</t>
  </si>
  <si>
    <t>Metamora</t>
  </si>
  <si>
    <t>Swanton</t>
  </si>
  <si>
    <t>Gallipolis</t>
  </si>
  <si>
    <t>Gallia</t>
  </si>
  <si>
    <t>Hamden</t>
  </si>
  <si>
    <t>Geagua</t>
  </si>
  <si>
    <t>Middlefield</t>
  </si>
  <si>
    <t>Geauga</t>
  </si>
  <si>
    <t>South Russell</t>
  </si>
  <si>
    <t>Cedarville</t>
  </si>
  <si>
    <t>Greene</t>
  </si>
  <si>
    <t>Clifton</t>
  </si>
  <si>
    <t>Greene/Clark</t>
  </si>
  <si>
    <t>Yellow Springs</t>
  </si>
  <si>
    <t>Guernsey</t>
  </si>
  <si>
    <t>Amberley</t>
  </si>
  <si>
    <t>Hamilton</t>
  </si>
  <si>
    <t>Arlington Heights</t>
  </si>
  <si>
    <t>Evendale</t>
  </si>
  <si>
    <t>Glendale</t>
  </si>
  <si>
    <t>Golf Manor</t>
  </si>
  <si>
    <t>Lincoln Heights</t>
  </si>
  <si>
    <t>Terrace Park</t>
  </si>
  <si>
    <t>Woodlawn</t>
  </si>
  <si>
    <t>Arcadia</t>
  </si>
  <si>
    <t>Hancock</t>
  </si>
  <si>
    <t>McComb</t>
  </si>
  <si>
    <t>Rawson</t>
  </si>
  <si>
    <t>Van Buren</t>
  </si>
  <si>
    <t>Vanlue</t>
  </si>
  <si>
    <t>Ada</t>
  </si>
  <si>
    <t>Hardin</t>
  </si>
  <si>
    <t>Dunkirk</t>
  </si>
  <si>
    <t>Forest</t>
  </si>
  <si>
    <t>Mcguffey</t>
  </si>
  <si>
    <t>Patterson</t>
  </si>
  <si>
    <t>Ridgeway</t>
  </si>
  <si>
    <t>Bowerston</t>
  </si>
  <si>
    <t>Harrison</t>
  </si>
  <si>
    <t>Deersville</t>
  </si>
  <si>
    <t>Freeport</t>
  </si>
  <si>
    <t>Scio</t>
  </si>
  <si>
    <t>Henry</t>
  </si>
  <si>
    <t>Holgate</t>
  </si>
  <si>
    <t>Highland</t>
  </si>
  <si>
    <t>Mowrystown</t>
  </si>
  <si>
    <t>Sinking Spring</t>
  </si>
  <si>
    <t>Holmes</t>
  </si>
  <si>
    <t>Holmesville</t>
  </si>
  <si>
    <t>Millersburg</t>
  </si>
  <si>
    <t>Monroeville</t>
  </si>
  <si>
    <t>Huron</t>
  </si>
  <si>
    <t>New London</t>
  </si>
  <si>
    <t>North Fairfield</t>
  </si>
  <si>
    <t>Wakeman</t>
  </si>
  <si>
    <t>Jefferson</t>
  </si>
  <si>
    <t>Amsterdam</t>
  </si>
  <si>
    <t>Mingo Junction</t>
  </si>
  <si>
    <t>Stratton</t>
  </si>
  <si>
    <t>Yorkville</t>
  </si>
  <si>
    <t>Danville</t>
  </si>
  <si>
    <t>Knox</t>
  </si>
  <si>
    <t>Fredericktown</t>
  </si>
  <si>
    <t>Fairport Harbor</t>
  </si>
  <si>
    <t>Lake</t>
  </si>
  <si>
    <t>Grand River</t>
  </si>
  <si>
    <t>Madison</t>
  </si>
  <si>
    <t xml:space="preserve">Perry </t>
  </si>
  <si>
    <t>Timberlake</t>
  </si>
  <si>
    <t>Waite Hill</t>
  </si>
  <si>
    <t>Chesapeake</t>
  </si>
  <si>
    <t>Lawrence</t>
  </si>
  <si>
    <t>Granville</t>
  </si>
  <si>
    <t>Licking</t>
  </si>
  <si>
    <t>Gratiot</t>
  </si>
  <si>
    <t>Hartford</t>
  </si>
  <si>
    <t>Hebron</t>
  </si>
  <si>
    <t>St. Louisville</t>
  </si>
  <si>
    <t>Utica</t>
  </si>
  <si>
    <t>Logan</t>
  </si>
  <si>
    <t>Russells Point</t>
  </si>
  <si>
    <t>Valley Hi</t>
  </si>
  <si>
    <t>Zanesfield</t>
  </si>
  <si>
    <t>Grafton</t>
  </si>
  <si>
    <t>Lorain</t>
  </si>
  <si>
    <t>Sheffield</t>
  </si>
  <si>
    <t>Wellington</t>
  </si>
  <si>
    <t>Holland</t>
  </si>
  <si>
    <t>Lucas</t>
  </si>
  <si>
    <t>Ottawa Hills</t>
  </si>
  <si>
    <t>Whitehouse</t>
  </si>
  <si>
    <t>Midway</t>
  </si>
  <si>
    <t>Plain City</t>
  </si>
  <si>
    <t>Sebring</t>
  </si>
  <si>
    <t>Mahoning</t>
  </si>
  <si>
    <t>Marion</t>
  </si>
  <si>
    <t>Meigs</t>
  </si>
  <si>
    <t>Burkettsville</t>
  </si>
  <si>
    <t>Mercer</t>
  </si>
  <si>
    <t>Fort Recovery</t>
  </si>
  <si>
    <t>Rockford</t>
  </si>
  <si>
    <t>Bradford</t>
  </si>
  <si>
    <t>Miami</t>
  </si>
  <si>
    <t>Potsdam</t>
  </si>
  <si>
    <t>West Milton</t>
  </si>
  <si>
    <t>Antioch</t>
  </si>
  <si>
    <t>Monroe</t>
  </si>
  <si>
    <t>Graysville</t>
  </si>
  <si>
    <t>Miltonsburg</t>
  </si>
  <si>
    <t>Stafford</t>
  </si>
  <si>
    <t>Wilson</t>
  </si>
  <si>
    <t>Montgomery</t>
  </si>
  <si>
    <t>New Lebanon</t>
  </si>
  <si>
    <t>Phillipsburg</t>
  </si>
  <si>
    <t>Adamsville</t>
  </si>
  <si>
    <t>Muskingum</t>
  </si>
  <si>
    <t>New Concord</t>
  </si>
  <si>
    <t>Philo</t>
  </si>
  <si>
    <t>Roseville</t>
  </si>
  <si>
    <t>Batesville</t>
  </si>
  <si>
    <t>Noble</t>
  </si>
  <si>
    <t>Belle Valley</t>
  </si>
  <si>
    <t>Genoa</t>
  </si>
  <si>
    <t>Oak Harbor</t>
  </si>
  <si>
    <t>Antwerp</t>
  </si>
  <si>
    <t>Paulding</t>
  </si>
  <si>
    <t>Broughton</t>
  </si>
  <si>
    <t>Payne</t>
  </si>
  <si>
    <t>Crooksville</t>
  </si>
  <si>
    <t>Perry</t>
  </si>
  <si>
    <t>Glenford</t>
  </si>
  <si>
    <t>Thornville</t>
  </si>
  <si>
    <t>Pickaway</t>
  </si>
  <si>
    <t>Piketon</t>
  </si>
  <si>
    <t>Pike</t>
  </si>
  <si>
    <t>Garrettsville</t>
  </si>
  <si>
    <t>Lewisburg</t>
  </si>
  <si>
    <t>Preble</t>
  </si>
  <si>
    <t>New Paris</t>
  </si>
  <si>
    <t>Verona</t>
  </si>
  <si>
    <t>West Alexandria</t>
  </si>
  <si>
    <t>Putnam</t>
  </si>
  <si>
    <t>Glandorf</t>
  </si>
  <si>
    <t>Ottoville</t>
  </si>
  <si>
    <t>Pandora</t>
  </si>
  <si>
    <t>Butler</t>
  </si>
  <si>
    <t>Richland</t>
  </si>
  <si>
    <t>Lexington</t>
  </si>
  <si>
    <t>Shiloh</t>
  </si>
  <si>
    <t>South Salem</t>
  </si>
  <si>
    <t>Ross</t>
  </si>
  <si>
    <t>Burgoon</t>
  </si>
  <si>
    <t>Sandusky</t>
  </si>
  <si>
    <t>Gibsonburg</t>
  </si>
  <si>
    <t>Woodville</t>
  </si>
  <si>
    <t>New Boston</t>
  </si>
  <si>
    <t>Scioto</t>
  </si>
  <si>
    <t>Rarden</t>
  </si>
  <si>
    <t>Bettsville</t>
  </si>
  <si>
    <t>Seneca</t>
  </si>
  <si>
    <t>Bloomville</t>
  </si>
  <si>
    <t>Republic</t>
  </si>
  <si>
    <t>Botkins</t>
  </si>
  <si>
    <t>Shelby</t>
  </si>
  <si>
    <t xml:space="preserve">Lockington </t>
  </si>
  <si>
    <t>Russia</t>
  </si>
  <si>
    <t>Beach</t>
  </si>
  <si>
    <t>Stark</t>
  </si>
  <si>
    <t>Brewster</t>
  </si>
  <si>
    <t>East Canton</t>
  </si>
  <si>
    <t>Hartville</t>
  </si>
  <si>
    <t>Magnolia</t>
  </si>
  <si>
    <t xml:space="preserve">Minerva  </t>
  </si>
  <si>
    <t>Navarre</t>
  </si>
  <si>
    <t>Waynesburg</t>
  </si>
  <si>
    <t>Boston Heights</t>
  </si>
  <si>
    <t>Summit</t>
  </si>
  <si>
    <t>Mogadore</t>
  </si>
  <si>
    <t>Peninsula</t>
  </si>
  <si>
    <t>Richfield</t>
  </si>
  <si>
    <t>Silver Lake</t>
  </si>
  <si>
    <t>Lordstown</t>
  </si>
  <si>
    <t>Trumbell</t>
  </si>
  <si>
    <t>Trumbull</t>
  </si>
  <si>
    <t>McDonald</t>
  </si>
  <si>
    <t>Baltic</t>
  </si>
  <si>
    <t>Tuscarawas</t>
  </si>
  <si>
    <t>Barnhill</t>
  </si>
  <si>
    <t>Bolivar</t>
  </si>
  <si>
    <t>Gnadenhutten</t>
  </si>
  <si>
    <t>Newcomerstown</t>
  </si>
  <si>
    <t>Parral</t>
  </si>
  <si>
    <t>Stone Creek</t>
  </si>
  <si>
    <t>Strasburg</t>
  </si>
  <si>
    <t>Sugarcreek</t>
  </si>
  <si>
    <t>Unionville Center</t>
  </si>
  <si>
    <t>Union</t>
  </si>
  <si>
    <t>Van Wert</t>
  </si>
  <si>
    <t xml:space="preserve">Ohio City </t>
  </si>
  <si>
    <t>Scott</t>
  </si>
  <si>
    <t>Venedocia</t>
  </si>
  <si>
    <t>Willshire</t>
  </si>
  <si>
    <t>Wilkesville</t>
  </si>
  <si>
    <t>Zaleski</t>
  </si>
  <si>
    <t>Corwin</t>
  </si>
  <si>
    <t>Harveysburg</t>
  </si>
  <si>
    <t>Warren</t>
  </si>
  <si>
    <t>South Lebanon</t>
  </si>
  <si>
    <t>Waynesville</t>
  </si>
  <si>
    <t>Beverly</t>
  </si>
  <si>
    <t>Washington</t>
  </si>
  <si>
    <t>Apple Creek</t>
  </si>
  <si>
    <t>Wayne</t>
  </si>
  <si>
    <t>Creston</t>
  </si>
  <si>
    <t>Dalton</t>
  </si>
  <si>
    <t>Doylestown</t>
  </si>
  <si>
    <t>Fredericksburg</t>
  </si>
  <si>
    <t>Smithville</t>
  </si>
  <si>
    <t>Edgerton</t>
  </si>
  <si>
    <t>Williams</t>
  </si>
  <si>
    <t>Montpelier</t>
  </si>
  <si>
    <t>Stryker</t>
  </si>
  <si>
    <t>West Unity</t>
  </si>
  <si>
    <t>Wood</t>
  </si>
  <si>
    <t>Bloomdale</t>
  </si>
  <si>
    <t>Bradner</t>
  </si>
  <si>
    <t>Luckey</t>
  </si>
  <si>
    <t>North Baltimore</t>
  </si>
  <si>
    <t>Pemberville</t>
  </si>
  <si>
    <t>Tontogany</t>
  </si>
  <si>
    <t>Carey</t>
  </si>
  <si>
    <t>Wyandot</t>
  </si>
  <si>
    <t>Nevada</t>
  </si>
  <si>
    <t>Miscellaneous</t>
  </si>
  <si>
    <t>Transportation</t>
  </si>
  <si>
    <t>Transfers-In</t>
  </si>
  <si>
    <t>Transfers-Out</t>
  </si>
  <si>
    <t>Villages</t>
  </si>
  <si>
    <t xml:space="preserve">Property </t>
  </si>
  <si>
    <t>and Other</t>
  </si>
  <si>
    <t xml:space="preserve"> Local Taxes</t>
  </si>
  <si>
    <t xml:space="preserve">Municipal </t>
  </si>
  <si>
    <t>Income Tax</t>
  </si>
  <si>
    <t>Intergovern-</t>
  </si>
  <si>
    <t>mental</t>
  </si>
  <si>
    <t xml:space="preserve">Special </t>
  </si>
  <si>
    <t>Assessments</t>
  </si>
  <si>
    <t>Charges for</t>
  </si>
  <si>
    <t>Services</t>
  </si>
  <si>
    <t xml:space="preserve">Fines, </t>
  </si>
  <si>
    <t>Licenses</t>
  </si>
  <si>
    <t>and Permits</t>
  </si>
  <si>
    <t>Earnings on</t>
  </si>
  <si>
    <t>Investments</t>
  </si>
  <si>
    <t xml:space="preserve">Sale of </t>
  </si>
  <si>
    <t>Fixed Assets</t>
  </si>
  <si>
    <t>Advances-In</t>
  </si>
  <si>
    <t xml:space="preserve">Other </t>
  </si>
  <si>
    <t>Financing</t>
  </si>
  <si>
    <t>Sources</t>
  </si>
  <si>
    <t xml:space="preserve">Security of </t>
  </si>
  <si>
    <t>Persons and</t>
  </si>
  <si>
    <t xml:space="preserve"> Property</t>
  </si>
  <si>
    <t>Public Health</t>
  </si>
  <si>
    <t xml:space="preserve"> Services</t>
  </si>
  <si>
    <t>Leisure Time</t>
  </si>
  <si>
    <t xml:space="preserve"> Activities</t>
  </si>
  <si>
    <t>Community</t>
  </si>
  <si>
    <t xml:space="preserve"> Environment</t>
  </si>
  <si>
    <t xml:space="preserve">Basic Utility </t>
  </si>
  <si>
    <t>General</t>
  </si>
  <si>
    <t xml:space="preserve"> Government</t>
  </si>
  <si>
    <t xml:space="preserve">Capital </t>
  </si>
  <si>
    <t>Outlay</t>
  </si>
  <si>
    <t>Redemption</t>
  </si>
  <si>
    <t xml:space="preserve"> of Principal</t>
  </si>
  <si>
    <t>Interest and</t>
  </si>
  <si>
    <t xml:space="preserve"> Other Fiscal</t>
  </si>
  <si>
    <t xml:space="preserve"> Charges</t>
  </si>
  <si>
    <t>Advances-Out</t>
  </si>
  <si>
    <t>Uses</t>
  </si>
  <si>
    <t>Adams</t>
  </si>
  <si>
    <t>Coalton</t>
  </si>
  <si>
    <t>Amanda</t>
  </si>
  <si>
    <t xml:space="preserve">Ashland </t>
  </si>
  <si>
    <t>Bailey Lakes</t>
  </si>
  <si>
    <t>Disbursements</t>
  </si>
  <si>
    <t>Receipts</t>
  </si>
  <si>
    <t>Roaming Shores</t>
  </si>
  <si>
    <t>Ashtabula</t>
  </si>
  <si>
    <t>Rock Creek</t>
  </si>
  <si>
    <t>Savannah</t>
  </si>
  <si>
    <t>Seaman</t>
  </si>
  <si>
    <t>Peebles</t>
  </si>
  <si>
    <t>Perrysville</t>
  </si>
  <si>
    <t>Polk</t>
  </si>
  <si>
    <t>Port Washington</t>
  </si>
  <si>
    <t>Marshallville</t>
  </si>
  <si>
    <t>Bluffton</t>
  </si>
  <si>
    <t>Burton</t>
  </si>
  <si>
    <t>North Kingsville</t>
  </si>
  <si>
    <t>Grower Hill</t>
  </si>
  <si>
    <t>Ithaca</t>
  </si>
  <si>
    <t xml:space="preserve">Jefferson  </t>
  </si>
  <si>
    <t>Jenera</t>
  </si>
  <si>
    <t>Jeromesville</t>
  </si>
  <si>
    <t>Jerry City</t>
  </si>
  <si>
    <t>Junction City</t>
  </si>
  <si>
    <t>Kelley's Island</t>
  </si>
  <si>
    <t>Kirkersville</t>
  </si>
  <si>
    <t>Lakeview</t>
  </si>
  <si>
    <t>Lakeline</t>
  </si>
  <si>
    <t>Mercer/Darke</t>
  </si>
  <si>
    <t>Rutland</t>
  </si>
  <si>
    <t>New Straitsville</t>
  </si>
  <si>
    <t>Cairo</t>
  </si>
  <si>
    <t>Allen</t>
  </si>
  <si>
    <t>Alger</t>
  </si>
  <si>
    <t>Aquilla</t>
  </si>
  <si>
    <t>Governmental Activities</t>
  </si>
  <si>
    <t xml:space="preserve">All Villages Reporting Using GASB 34 Format </t>
  </si>
  <si>
    <t>Program Receipts</t>
  </si>
  <si>
    <t>Transfers</t>
  </si>
  <si>
    <t>Special</t>
  </si>
  <si>
    <t>Net</t>
  </si>
  <si>
    <t>Property</t>
  </si>
  <si>
    <t>and/or</t>
  </si>
  <si>
    <t>Change</t>
  </si>
  <si>
    <t>Cash</t>
  </si>
  <si>
    <t>Contributions</t>
  </si>
  <si>
    <t>Capital</t>
  </si>
  <si>
    <t>and Other Local</t>
  </si>
  <si>
    <t>Income</t>
  </si>
  <si>
    <t>Unrestricted</t>
  </si>
  <si>
    <t>Investment</t>
  </si>
  <si>
    <t>Debt</t>
  </si>
  <si>
    <t>Avances</t>
  </si>
  <si>
    <t>Extraordinary</t>
  </si>
  <si>
    <t>in Net</t>
  </si>
  <si>
    <t>Village</t>
  </si>
  <si>
    <t>County</t>
  </si>
  <si>
    <t>and Interest</t>
  </si>
  <si>
    <t>Grants</t>
  </si>
  <si>
    <t>(Disbursements)</t>
  </si>
  <si>
    <t>Taxes</t>
  </si>
  <si>
    <t>Earnings</t>
  </si>
  <si>
    <t>Other</t>
  </si>
  <si>
    <t>Proceeds</t>
  </si>
  <si>
    <t>In/(Out)</t>
  </si>
  <si>
    <t>Items</t>
  </si>
  <si>
    <t xml:space="preserve">Brown </t>
  </si>
  <si>
    <t xml:space="preserve">Cuyahoga </t>
  </si>
  <si>
    <t xml:space="preserve">Gallia </t>
  </si>
  <si>
    <t xml:space="preserve">Jefferson </t>
  </si>
  <si>
    <t xml:space="preserve">Knox </t>
  </si>
  <si>
    <t xml:space="preserve">Lorain </t>
  </si>
  <si>
    <t xml:space="preserve">Noble </t>
  </si>
  <si>
    <t xml:space="preserve">Ottawa </t>
  </si>
  <si>
    <t xml:space="preserve">Putnam </t>
  </si>
  <si>
    <t xml:space="preserve">Richland </t>
  </si>
  <si>
    <t xml:space="preserve">Trumbull </t>
  </si>
  <si>
    <t xml:space="preserve">Tuscarawas </t>
  </si>
  <si>
    <t xml:space="preserve">Warren </t>
  </si>
  <si>
    <t>Total</t>
  </si>
  <si>
    <t>Donnelsville</t>
  </si>
  <si>
    <t>Lakemore</t>
  </si>
  <si>
    <t>Rocky Ridge</t>
  </si>
  <si>
    <t>Rome</t>
  </si>
  <si>
    <t>Hanover</t>
  </si>
  <si>
    <t>South Charleston</t>
  </si>
  <si>
    <t>Cable</t>
  </si>
  <si>
    <t>Franchise Fees</t>
  </si>
  <si>
    <t>Net Assets</t>
  </si>
  <si>
    <t>End of Year</t>
  </si>
  <si>
    <t>Centerville</t>
  </si>
  <si>
    <t>Sparta</t>
  </si>
  <si>
    <t>Marblehead</t>
  </si>
  <si>
    <t>Kalida</t>
  </si>
  <si>
    <t>Cygnet</t>
  </si>
  <si>
    <t>North Randall</t>
  </si>
  <si>
    <t>Harrisville</t>
  </si>
  <si>
    <t>Linndale</t>
  </si>
  <si>
    <t>Mendon</t>
  </si>
  <si>
    <t>Warsaw</t>
  </si>
  <si>
    <t>Ashville</t>
  </si>
  <si>
    <t>Bainbridge</t>
  </si>
  <si>
    <t>Chickasaw</t>
  </si>
  <si>
    <t>Cleves</t>
  </si>
  <si>
    <t>Lowellville</t>
  </si>
  <si>
    <t>New Waterford</t>
  </si>
  <si>
    <t>Rushsylvania</t>
  </si>
  <si>
    <t>Spencer</t>
  </si>
  <si>
    <t>Tiro</t>
  </si>
  <si>
    <t>Wilmot</t>
  </si>
  <si>
    <t>Wintersville</t>
  </si>
  <si>
    <t>General Receipts</t>
  </si>
  <si>
    <t>General Fund Revenues</t>
  </si>
  <si>
    <t>General Fund Expenditures</t>
  </si>
  <si>
    <t>(Continued)</t>
  </si>
  <si>
    <t>Glenmont</t>
  </si>
  <si>
    <t>Sale of</t>
  </si>
  <si>
    <t>Bonds</t>
  </si>
  <si>
    <t>Notes</t>
  </si>
  <si>
    <t>Government</t>
  </si>
  <si>
    <t>Environment</t>
  </si>
  <si>
    <t>Governmental Fund Revenues</t>
  </si>
  <si>
    <t>Governmental Fund Expenditures</t>
  </si>
  <si>
    <t xml:space="preserve">This is a </t>
  </si>
  <si>
    <t xml:space="preserve">Calculation </t>
  </si>
  <si>
    <t>Used for Testing</t>
  </si>
  <si>
    <t xml:space="preserve">Hide columns </t>
  </si>
  <si>
    <t xml:space="preserve">General </t>
  </si>
  <si>
    <t>Reconciliation</t>
  </si>
  <si>
    <t>EOY</t>
  </si>
  <si>
    <t>Change in</t>
  </si>
  <si>
    <t>Receipt</t>
  </si>
  <si>
    <t xml:space="preserve">Fund </t>
  </si>
  <si>
    <t>Balance</t>
  </si>
  <si>
    <t>BOY</t>
  </si>
  <si>
    <t>Fund</t>
  </si>
  <si>
    <t xml:space="preserve">Balance </t>
  </si>
  <si>
    <t xml:space="preserve">Fill in these amount but they </t>
  </si>
  <si>
    <t>are not to be included as part</t>
  </si>
  <si>
    <t>of the print area</t>
  </si>
  <si>
    <t>Adena</t>
  </si>
  <si>
    <t>Athalia</t>
  </si>
  <si>
    <t>Benton Ridge</t>
  </si>
  <si>
    <t>.</t>
  </si>
  <si>
    <t>Brady Lake</t>
  </si>
  <si>
    <t>Chesterhill</t>
  </si>
  <si>
    <t>Morgan</t>
  </si>
  <si>
    <t>Chilo</t>
  </si>
  <si>
    <t>Coldwater</t>
  </si>
  <si>
    <t>Covington</t>
  </si>
  <si>
    <t>Gambier</t>
  </si>
  <si>
    <t>Killbuck</t>
  </si>
  <si>
    <t>Leipsic</t>
  </si>
  <si>
    <t>Midland</t>
  </si>
  <si>
    <t>Pioneer</t>
  </si>
  <si>
    <t>Plainfield</t>
  </si>
  <si>
    <t>Port Jefferson</t>
  </si>
  <si>
    <t>Roswell</t>
  </si>
  <si>
    <t>Shreve</t>
  </si>
  <si>
    <t>West Leipsic</t>
  </si>
  <si>
    <t>West Manchester</t>
  </si>
  <si>
    <t>Wharton</t>
  </si>
  <si>
    <t>Miami/Darke</t>
  </si>
  <si>
    <t>Beginning of Year</t>
  </si>
  <si>
    <t>Kirtland Hills</t>
  </si>
  <si>
    <t xml:space="preserve">Orange </t>
  </si>
  <si>
    <t>Sarahsville</t>
  </si>
  <si>
    <t>Loudonville</t>
  </si>
  <si>
    <t>Evandale</t>
  </si>
  <si>
    <t>Cuyahoga Heights</t>
  </si>
  <si>
    <t>Blanchester</t>
  </si>
  <si>
    <t>Hocking</t>
  </si>
  <si>
    <t>Manchester</t>
  </si>
  <si>
    <t>Ashley</t>
  </si>
  <si>
    <t>Andover</t>
  </si>
  <si>
    <t>Belmore</t>
  </si>
  <si>
    <t>Casstown</t>
  </si>
  <si>
    <t>Congress</t>
  </si>
  <si>
    <t>Coolville</t>
  </si>
  <si>
    <t>Fletcher</t>
  </si>
  <si>
    <t>Flushing</t>
  </si>
  <si>
    <t>Hamler</t>
  </si>
  <si>
    <t>Harrisburg</t>
  </si>
  <si>
    <t>Leesburg</t>
  </si>
  <si>
    <t>Lockbourne</t>
  </si>
  <si>
    <t>Malta</t>
  </si>
  <si>
    <t>Middle Point</t>
  </si>
  <si>
    <t>Morral</t>
  </si>
  <si>
    <t>New Miami</t>
  </si>
  <si>
    <t>Russellville</t>
  </si>
  <si>
    <t>Somerville</t>
  </si>
  <si>
    <t>Stoutsville</t>
  </si>
  <si>
    <t>West Elkton</t>
  </si>
  <si>
    <t>West Jefferson</t>
  </si>
  <si>
    <t>West Mansfield</t>
  </si>
  <si>
    <t>Trimble</t>
  </si>
  <si>
    <t>Silverton</t>
  </si>
  <si>
    <t>Carlisle</t>
  </si>
  <si>
    <t>Newton Falls</t>
  </si>
  <si>
    <t>East Palestine</t>
  </si>
  <si>
    <t>Rayland</t>
  </si>
  <si>
    <t>Greenfield</t>
  </si>
  <si>
    <t>Highland Hills</t>
  </si>
  <si>
    <t>Lodi</t>
  </si>
  <si>
    <t>Medina</t>
  </si>
  <si>
    <t>to a Permanent</t>
  </si>
  <si>
    <t>Old Washington</t>
  </si>
  <si>
    <t>Crestline</t>
  </si>
  <si>
    <t>Position</t>
  </si>
  <si>
    <t>Net Position</t>
  </si>
  <si>
    <t>Fines,</t>
  </si>
  <si>
    <t>Jacksonville</t>
  </si>
  <si>
    <t>Higginsport</t>
  </si>
  <si>
    <t>Kettlersville</t>
  </si>
  <si>
    <t>Mt. Gilead</t>
  </si>
  <si>
    <t>New Lexington</t>
  </si>
  <si>
    <t>Marseilles</t>
  </si>
  <si>
    <t>Waverly</t>
  </si>
  <si>
    <t>St. Bernard</t>
  </si>
  <si>
    <t>La Rue</t>
  </si>
  <si>
    <t>Special and/or</t>
  </si>
  <si>
    <t>Rendville</t>
  </si>
  <si>
    <t>Operating Grants,</t>
  </si>
  <si>
    <t>Contributions,</t>
  </si>
  <si>
    <t>Summary Information from the Statement of Activities - Cash Basis</t>
  </si>
  <si>
    <t>For the Year Ended December 31, 2013</t>
  </si>
  <si>
    <t>Clarington</t>
  </si>
  <si>
    <t>Jerusalem</t>
  </si>
  <si>
    <t>New Alexandria</t>
  </si>
  <si>
    <t>Ashland</t>
  </si>
  <si>
    <t>Mount Blanchard</t>
  </si>
  <si>
    <t>Jackson</t>
  </si>
  <si>
    <t>Degraff</t>
  </si>
  <si>
    <t>New Middletown</t>
  </si>
  <si>
    <t>Westfield Center</t>
  </si>
  <si>
    <t>St. Henry</t>
  </si>
  <si>
    <t>South Zanesville</t>
  </si>
  <si>
    <t>Commercial Point</t>
  </si>
  <si>
    <t>Mcarthur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</si>
</sst>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10"/>
      <name val="Times New Roman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7" fontId="2" fillId="0" borderId="0">
      <alignment horizontal="right"/>
    </xf>
    <xf numFmtId="5" fontId="2" fillId="0" borderId="0">
      <alignment horizontal="right"/>
    </xf>
    <xf numFmtId="0" fontId="7" fillId="0" borderId="0"/>
    <xf numFmtId="0" fontId="7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7" fontId="2" fillId="0" borderId="0" xfId="0" applyNumberFormat="1" applyFont="1"/>
    <xf numFmtId="0" fontId="2" fillId="0" borderId="0" xfId="0" applyFont="1" applyFill="1"/>
    <xf numFmtId="0" fontId="6" fillId="0" borderId="0" xfId="0" applyFont="1"/>
    <xf numFmtId="37" fontId="2" fillId="0" borderId="0" xfId="0" applyNumberFormat="1" applyFont="1" applyFill="1"/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37" fontId="5" fillId="0" borderId="0" xfId="0" applyNumberFormat="1" applyFont="1" applyFill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37" fontId="2" fillId="0" borderId="0" xfId="0" applyNumberFormat="1" applyFont="1" applyBorder="1" applyAlignment="1">
      <alignment horizontal="right"/>
    </xf>
    <xf numFmtId="5" fontId="2" fillId="0" borderId="0" xfId="0" applyNumberFormat="1" applyFont="1"/>
    <xf numFmtId="5" fontId="2" fillId="0" borderId="0" xfId="0" applyNumberFormat="1" applyFont="1" applyFill="1"/>
    <xf numFmtId="37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Border="1"/>
    <xf numFmtId="37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10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5" fontId="5" fillId="0" borderId="0" xfId="0" applyNumberFormat="1" applyFont="1" applyFill="1"/>
    <xf numFmtId="37" fontId="6" fillId="0" borderId="0" xfId="0" applyNumberFormat="1" applyFont="1" applyFill="1"/>
    <xf numFmtId="37" fontId="5" fillId="0" borderId="0" xfId="0" applyNumberFormat="1" applyFont="1" applyFill="1" applyBorder="1"/>
    <xf numFmtId="37" fontId="3" fillId="0" borderId="0" xfId="0" applyNumberFormat="1" applyFont="1" applyFill="1" applyAlignment="1"/>
    <xf numFmtId="37" fontId="4" fillId="0" borderId="0" xfId="0" applyNumberFormat="1" applyFont="1" applyFill="1" applyAlignment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5" fontId="5" fillId="0" borderId="0" xfId="0" applyNumberFormat="1" applyFont="1" applyFill="1" applyBorder="1"/>
    <xf numFmtId="0" fontId="2" fillId="0" borderId="0" xfId="0" applyFont="1" applyBorder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5" fontId="2" fillId="0" borderId="0" xfId="0" applyNumberFormat="1" applyFont="1" applyBorder="1" applyAlignment="1">
      <alignment horizontal="right"/>
    </xf>
    <xf numFmtId="5" fontId="2" fillId="0" borderId="0" xfId="2" applyFont="1">
      <alignment horizontal="right"/>
    </xf>
    <xf numFmtId="5" fontId="2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5" fontId="2" fillId="0" borderId="0" xfId="0" applyNumberFormat="1" applyFont="1" applyFill="1" applyAlignment="1"/>
    <xf numFmtId="37" fontId="2" fillId="2" borderId="0" xfId="0" applyNumberFormat="1" applyFont="1" applyFill="1"/>
    <xf numFmtId="37" fontId="2" fillId="2" borderId="0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 wrapText="1"/>
    </xf>
    <xf numFmtId="37" fontId="2" fillId="2" borderId="0" xfId="0" applyNumberFormat="1" applyFont="1" applyFill="1" applyBorder="1" applyAlignment="1">
      <alignment horizontal="center" wrapText="1"/>
    </xf>
    <xf numFmtId="37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5" fontId="2" fillId="2" borderId="0" xfId="0" applyNumberFormat="1" applyFont="1" applyFill="1"/>
    <xf numFmtId="5" fontId="2" fillId="0" borderId="0" xfId="2" applyFont="1" applyFill="1">
      <alignment horizontal="right"/>
    </xf>
    <xf numFmtId="37" fontId="5" fillId="0" borderId="0" xfId="0" applyNumberFormat="1" applyFont="1"/>
    <xf numFmtId="0" fontId="5" fillId="0" borderId="0" xfId="0" applyFont="1"/>
    <xf numFmtId="5" fontId="2" fillId="0" borderId="0" xfId="0" applyNumberFormat="1" applyFont="1" applyAlignment="1">
      <alignment horizontal="right"/>
    </xf>
    <xf numFmtId="37" fontId="6" fillId="0" borderId="0" xfId="0" applyNumberFormat="1" applyFont="1"/>
    <xf numFmtId="5" fontId="5" fillId="0" borderId="0" xfId="0" applyNumberFormat="1" applyFont="1"/>
    <xf numFmtId="0" fontId="2" fillId="0" borderId="0" xfId="0" applyFont="1" applyBorder="1" applyAlignment="1">
      <alignment horizontal="center" wrapText="1"/>
    </xf>
    <xf numFmtId="37" fontId="2" fillId="0" borderId="0" xfId="0" applyNumberFormat="1" applyFont="1" applyBorder="1" applyAlignment="1">
      <alignment horizontal="center" wrapText="1"/>
    </xf>
    <xf numFmtId="37" fontId="2" fillId="0" borderId="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37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5" fillId="0" borderId="0" xfId="0" applyFont="1" applyBorder="1"/>
    <xf numFmtId="37" fontId="6" fillId="0" borderId="0" xfId="4" applyNumberFormat="1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7" fontId="2" fillId="0" borderId="0" xfId="4" applyNumberFormat="1" applyFont="1" applyFill="1" applyAlignment="1">
      <alignment horizontal="right"/>
    </xf>
  </cellXfs>
  <cellStyles count="5">
    <cellStyle name="Currency good" xfId="2"/>
    <cellStyle name="Normal" xfId="0" builtinId="0"/>
    <cellStyle name="Normal 2" xfId="3"/>
    <cellStyle name="Normal 250" xfId="4"/>
    <cellStyle name="THE form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view="pageBreakPreview" zoomScale="60" zoomScaleNormal="100" workbookViewId="0">
      <pane xSplit="4" ySplit="10" topLeftCell="E53" activePane="bottomRight" state="frozen"/>
      <selection pane="topRight" activeCell="E1" sqref="E1"/>
      <selection pane="bottomLeft" activeCell="A11" sqref="A11"/>
      <selection pane="bottomRight" activeCell="H100" sqref="H100"/>
    </sheetView>
  </sheetViews>
  <sheetFormatPr defaultRowHeight="12" x14ac:dyDescent="0.2"/>
  <cols>
    <col min="1" max="1" width="24.1640625" style="1" customWidth="1"/>
    <col min="2" max="2" width="1.83203125" style="1" customWidth="1"/>
    <col min="3" max="3" width="13.83203125" style="1" customWidth="1"/>
    <col min="4" max="4" width="1.83203125" style="1" customWidth="1"/>
    <col min="5" max="5" width="14.5" style="1" bestFit="1" customWidth="1"/>
    <col min="6" max="6" width="1.83203125" style="1" customWidth="1"/>
    <col min="7" max="7" width="11.83203125" style="1" customWidth="1"/>
    <col min="8" max="8" width="1.83203125" style="1" customWidth="1"/>
    <col min="9" max="9" width="12.83203125" style="1" customWidth="1"/>
    <col min="10" max="10" width="1.83203125" style="1" customWidth="1"/>
    <col min="11" max="11" width="11.83203125" style="1" customWidth="1"/>
    <col min="12" max="12" width="1.83203125" style="1" customWidth="1"/>
    <col min="13" max="13" width="13.1640625" style="1" customWidth="1"/>
    <col min="14" max="14" width="1.83203125" style="1" customWidth="1"/>
    <col min="15" max="15" width="16.1640625" style="1" hidden="1" customWidth="1"/>
    <col min="16" max="16" width="1.83203125" style="1" hidden="1" customWidth="1"/>
    <col min="17" max="17" width="15.83203125" style="1" customWidth="1"/>
    <col min="18" max="18" width="1.83203125" style="1" customWidth="1"/>
    <col min="19" max="19" width="11.83203125" style="1" customWidth="1"/>
    <col min="20" max="20" width="1.83203125" style="1" customWidth="1"/>
    <col min="21" max="21" width="11.83203125" style="1" customWidth="1"/>
    <col min="22" max="22" width="1.6640625" style="1" customWidth="1"/>
    <col min="23" max="23" width="11.83203125" style="1" customWidth="1"/>
    <col min="24" max="24" width="1.83203125" style="1" customWidth="1"/>
    <col min="25" max="25" width="13.6640625" style="1" customWidth="1"/>
    <col min="26" max="26" width="1.83203125" style="1" customWidth="1"/>
    <col min="27" max="27" width="11.83203125" style="1" customWidth="1"/>
    <col min="28" max="28" width="1.83203125" style="1" customWidth="1"/>
    <col min="29" max="29" width="11.83203125" style="1" customWidth="1"/>
    <col min="30" max="30" width="1.83203125" style="1" customWidth="1"/>
    <col min="31" max="31" width="13.83203125" style="1" customWidth="1"/>
    <col min="32" max="32" width="1.83203125" style="1" customWidth="1"/>
    <col min="33" max="33" width="13.6640625" style="1" customWidth="1"/>
    <col min="34" max="34" width="1.83203125" style="1" customWidth="1"/>
    <col min="35" max="35" width="13.83203125" style="1" customWidth="1"/>
    <col min="36" max="36" width="1.83203125" style="1" customWidth="1"/>
    <col min="37" max="37" width="13.83203125" style="1" customWidth="1"/>
    <col min="38" max="38" width="1.83203125" style="1" customWidth="1"/>
    <col min="39" max="39" width="13.83203125" style="1" customWidth="1"/>
    <col min="40" max="40" width="1.83203125" style="1" customWidth="1"/>
    <col min="41" max="41" width="15.6640625" style="1" customWidth="1"/>
    <col min="42" max="42" width="1.83203125" style="1" customWidth="1"/>
    <col min="43" max="43" width="13.83203125" style="1" customWidth="1"/>
    <col min="44" max="44" width="2.6640625" style="1" customWidth="1"/>
    <col min="45" max="45" width="16.6640625" style="1" bestFit="1" customWidth="1"/>
    <col min="46" max="46" width="1.83203125" style="1" customWidth="1"/>
    <col min="47" max="47" width="10.6640625" style="1" bestFit="1" customWidth="1"/>
    <col min="48" max="48" width="1.83203125" style="1" customWidth="1"/>
    <col min="49" max="49" width="13.83203125" style="1" bestFit="1" customWidth="1"/>
    <col min="50" max="50" width="1.83203125" style="1" customWidth="1"/>
    <col min="51" max="51" width="13.83203125" style="1" bestFit="1" customWidth="1"/>
    <col min="52" max="16384" width="9.33203125" style="1"/>
  </cols>
  <sheetData>
    <row r="1" spans="1:51" x14ac:dyDescent="0.2">
      <c r="A1" s="1" t="s">
        <v>843</v>
      </c>
      <c r="M1" s="13"/>
      <c r="N1" s="13"/>
      <c r="O1" s="13"/>
      <c r="P1" s="13"/>
      <c r="Q1" s="13"/>
    </row>
    <row r="2" spans="1:51" x14ac:dyDescent="0.2">
      <c r="A2" s="1" t="s">
        <v>654</v>
      </c>
      <c r="O2" s="1" t="s">
        <v>742</v>
      </c>
    </row>
    <row r="3" spans="1:51" x14ac:dyDescent="0.2">
      <c r="A3" s="1" t="s">
        <v>844</v>
      </c>
      <c r="O3" s="1" t="s">
        <v>743</v>
      </c>
    </row>
    <row r="4" spans="1:51" x14ac:dyDescent="0.2">
      <c r="A4" s="84" t="s">
        <v>733</v>
      </c>
      <c r="O4" s="1" t="s">
        <v>744</v>
      </c>
    </row>
    <row r="5" spans="1:51" x14ac:dyDescent="0.2">
      <c r="A5" s="1" t="s">
        <v>655</v>
      </c>
      <c r="O5" s="1" t="s">
        <v>745</v>
      </c>
    </row>
    <row r="6" spans="1:51" x14ac:dyDescent="0.2">
      <c r="A6" s="67"/>
      <c r="B6" s="67"/>
      <c r="G6" s="91" t="s">
        <v>656</v>
      </c>
      <c r="H6" s="91"/>
      <c r="I6" s="91"/>
      <c r="J6" s="91"/>
      <c r="K6" s="91"/>
      <c r="Q6" s="91" t="s">
        <v>730</v>
      </c>
      <c r="R6" s="91"/>
      <c r="S6" s="91"/>
      <c r="T6" s="91"/>
      <c r="U6" s="91"/>
      <c r="W6" s="91" t="s">
        <v>730</v>
      </c>
      <c r="X6" s="91"/>
      <c r="Y6" s="91"/>
      <c r="Z6" s="91"/>
      <c r="AA6" s="91"/>
      <c r="AB6" s="91"/>
      <c r="AC6" s="91"/>
      <c r="AE6" s="2"/>
      <c r="AF6" s="2"/>
      <c r="AG6" s="2"/>
      <c r="AH6" s="2"/>
    </row>
    <row r="7" spans="1:51" x14ac:dyDescent="0.2">
      <c r="G7" s="53"/>
      <c r="H7" s="53"/>
      <c r="I7" s="53"/>
      <c r="J7" s="53"/>
      <c r="K7" s="53"/>
      <c r="L7" s="3"/>
      <c r="M7" s="47"/>
      <c r="N7" s="47"/>
      <c r="O7" s="47"/>
      <c r="P7" s="47"/>
      <c r="Q7" s="3"/>
      <c r="R7" s="3"/>
      <c r="S7" s="3"/>
      <c r="T7" s="3"/>
      <c r="U7" s="3"/>
      <c r="V7" s="53"/>
      <c r="W7" s="3"/>
      <c r="X7" s="3"/>
      <c r="Y7" s="3"/>
      <c r="Z7" s="3"/>
      <c r="AA7" s="3"/>
      <c r="AB7" s="3"/>
      <c r="AC7" s="3"/>
      <c r="AD7" s="3"/>
      <c r="AE7" s="2" t="s">
        <v>657</v>
      </c>
      <c r="AF7" s="2"/>
      <c r="AH7" s="2"/>
      <c r="AI7" s="3" t="s">
        <v>658</v>
      </c>
      <c r="AJ7" s="3"/>
      <c r="AK7" s="3"/>
      <c r="AL7" s="3"/>
      <c r="AM7" s="3"/>
      <c r="AN7" s="3"/>
      <c r="AS7" s="92" t="s">
        <v>747</v>
      </c>
      <c r="AT7" s="92"/>
      <c r="AU7" s="92"/>
      <c r="AV7" s="92"/>
      <c r="AW7" s="92"/>
      <c r="AX7" s="92"/>
      <c r="AY7" s="92"/>
    </row>
    <row r="8" spans="1:51" x14ac:dyDescent="0.2">
      <c r="I8" s="2" t="s">
        <v>841</v>
      </c>
      <c r="J8" s="2"/>
      <c r="M8" s="2" t="s">
        <v>659</v>
      </c>
      <c r="N8" s="2"/>
      <c r="O8" s="2" t="s">
        <v>659</v>
      </c>
      <c r="P8" s="2"/>
      <c r="Q8" s="3" t="s">
        <v>660</v>
      </c>
      <c r="R8" s="3"/>
      <c r="AE8" s="28" t="s">
        <v>661</v>
      </c>
      <c r="AF8" s="28"/>
      <c r="AG8" s="28" t="s">
        <v>664</v>
      </c>
      <c r="AH8" s="28"/>
      <c r="AI8" s="28" t="s">
        <v>661</v>
      </c>
      <c r="AJ8" s="28"/>
      <c r="AK8" s="28" t="s">
        <v>698</v>
      </c>
      <c r="AL8" s="28"/>
      <c r="AM8" s="3" t="s">
        <v>662</v>
      </c>
      <c r="AN8" s="3"/>
      <c r="AS8" s="3" t="s">
        <v>659</v>
      </c>
      <c r="AT8" s="3"/>
      <c r="AU8" s="3"/>
      <c r="AV8" s="3"/>
      <c r="AW8" s="3"/>
      <c r="AX8" s="3"/>
      <c r="AY8" s="3"/>
    </row>
    <row r="9" spans="1:51" x14ac:dyDescent="0.2">
      <c r="A9" s="23"/>
      <c r="B9" s="23"/>
      <c r="C9" s="23"/>
      <c r="D9" s="23"/>
      <c r="E9" s="9" t="s">
        <v>663</v>
      </c>
      <c r="F9" s="9"/>
      <c r="G9" s="2" t="s">
        <v>582</v>
      </c>
      <c r="H9" s="2"/>
      <c r="I9" s="3" t="s">
        <v>842</v>
      </c>
      <c r="J9" s="3"/>
      <c r="K9" s="3" t="s">
        <v>665</v>
      </c>
      <c r="L9" s="2"/>
      <c r="M9" s="2" t="s">
        <v>622</v>
      </c>
      <c r="N9" s="2"/>
      <c r="O9" s="2" t="s">
        <v>622</v>
      </c>
      <c r="P9" s="2"/>
      <c r="Q9" s="3" t="s">
        <v>666</v>
      </c>
      <c r="R9" s="3"/>
      <c r="S9" s="3" t="s">
        <v>667</v>
      </c>
      <c r="T9" s="3"/>
      <c r="U9" s="3" t="s">
        <v>668</v>
      </c>
      <c r="V9" s="3"/>
      <c r="W9" s="2" t="s">
        <v>669</v>
      </c>
      <c r="X9" s="2"/>
      <c r="Y9" s="2" t="s">
        <v>705</v>
      </c>
      <c r="Z9" s="2"/>
      <c r="AA9" s="2"/>
      <c r="AB9" s="2"/>
      <c r="AC9" s="2" t="s">
        <v>670</v>
      </c>
      <c r="AD9" s="2"/>
      <c r="AE9" s="2" t="s">
        <v>671</v>
      </c>
      <c r="AF9" s="2"/>
      <c r="AG9" s="2" t="s">
        <v>824</v>
      </c>
      <c r="AH9" s="2"/>
      <c r="AI9" s="2" t="s">
        <v>672</v>
      </c>
      <c r="AJ9" s="2"/>
      <c r="AK9" s="2" t="s">
        <v>746</v>
      </c>
      <c r="AL9" s="2"/>
      <c r="AM9" s="3" t="s">
        <v>673</v>
      </c>
      <c r="AN9" s="3"/>
      <c r="AO9" s="28" t="s">
        <v>828</v>
      </c>
      <c r="AP9" s="28"/>
      <c r="AQ9" s="28" t="s">
        <v>828</v>
      </c>
      <c r="AS9" s="3" t="s">
        <v>750</v>
      </c>
      <c r="AT9" s="3"/>
      <c r="AU9" s="3" t="s">
        <v>605</v>
      </c>
      <c r="AV9" s="3"/>
      <c r="AW9" s="3" t="s">
        <v>749</v>
      </c>
      <c r="AX9" s="3"/>
      <c r="AY9" s="3" t="s">
        <v>748</v>
      </c>
    </row>
    <row r="10" spans="1:51" x14ac:dyDescent="0.2">
      <c r="A10" s="10" t="s">
        <v>674</v>
      </c>
      <c r="B10" s="22"/>
      <c r="C10" s="10" t="s">
        <v>675</v>
      </c>
      <c r="D10" s="22"/>
      <c r="E10" s="10" t="s">
        <v>621</v>
      </c>
      <c r="F10" s="22"/>
      <c r="G10" s="89" t="s">
        <v>583</v>
      </c>
      <c r="H10" s="3"/>
      <c r="I10" s="89" t="s">
        <v>676</v>
      </c>
      <c r="J10" s="3"/>
      <c r="K10" s="89" t="s">
        <v>677</v>
      </c>
      <c r="L10" s="3"/>
      <c r="M10" s="89" t="s">
        <v>678</v>
      </c>
      <c r="N10" s="3"/>
      <c r="O10" s="3" t="s">
        <v>678</v>
      </c>
      <c r="P10" s="3"/>
      <c r="Q10" s="89" t="s">
        <v>679</v>
      </c>
      <c r="R10" s="3"/>
      <c r="S10" s="89" t="s">
        <v>679</v>
      </c>
      <c r="T10" s="3"/>
      <c r="U10" s="89" t="s">
        <v>677</v>
      </c>
      <c r="V10" s="89"/>
      <c r="W10" s="90" t="s">
        <v>680</v>
      </c>
      <c r="X10" s="28"/>
      <c r="Y10" s="90" t="s">
        <v>706</v>
      </c>
      <c r="Z10" s="28"/>
      <c r="AA10" s="90" t="s">
        <v>681</v>
      </c>
      <c r="AB10" s="28"/>
      <c r="AC10" s="90" t="s">
        <v>682</v>
      </c>
      <c r="AD10" s="28"/>
      <c r="AE10" s="89" t="s">
        <v>683</v>
      </c>
      <c r="AF10" s="3"/>
      <c r="AG10" s="89" t="s">
        <v>754</v>
      </c>
      <c r="AH10" s="3"/>
      <c r="AI10" s="90" t="s">
        <v>684</v>
      </c>
      <c r="AJ10" s="28"/>
      <c r="AK10" s="90" t="s">
        <v>622</v>
      </c>
      <c r="AL10" s="28"/>
      <c r="AM10" s="89" t="s">
        <v>827</v>
      </c>
      <c r="AN10" s="3"/>
      <c r="AO10" s="90" t="s">
        <v>782</v>
      </c>
      <c r="AP10" s="28"/>
      <c r="AQ10" s="90" t="s">
        <v>708</v>
      </c>
      <c r="AS10" s="89" t="s">
        <v>678</v>
      </c>
      <c r="AT10" s="89"/>
      <c r="AU10" s="89" t="s">
        <v>622</v>
      </c>
      <c r="AV10" s="89"/>
      <c r="AW10" s="89" t="s">
        <v>707</v>
      </c>
      <c r="AX10" s="89"/>
      <c r="AY10" s="89" t="s">
        <v>707</v>
      </c>
    </row>
    <row r="11" spans="1:51" x14ac:dyDescent="0.2">
      <c r="A11" s="22"/>
      <c r="B11" s="22"/>
      <c r="C11" s="22"/>
      <c r="D11" s="2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S11" s="20">
        <f t="shared" ref="AS11" si="0">+M11-O11</f>
        <v>0</v>
      </c>
      <c r="AT11" s="3"/>
      <c r="AU11" s="20">
        <f t="shared" ref="AU11" si="1">+Q11+S11+U11+W11+Y11+AA11+AC11+AE11+AI11-AK11+AG11</f>
        <v>0</v>
      </c>
      <c r="AV11" s="3"/>
      <c r="AW11" s="20">
        <f t="shared" ref="AW11" si="2">+O11+AK11-AM11</f>
        <v>0</v>
      </c>
      <c r="AX11" s="3"/>
      <c r="AY11" s="20">
        <f t="shared" ref="AY11" si="3">+O11+AK11+AO11-AQ11</f>
        <v>0</v>
      </c>
    </row>
    <row r="12" spans="1:51" s="20" customFormat="1" x14ac:dyDescent="0.2">
      <c r="A12" s="1" t="s">
        <v>195</v>
      </c>
      <c r="B12" s="1"/>
      <c r="C12" s="1" t="s">
        <v>485</v>
      </c>
      <c r="D12" s="1"/>
      <c r="E12" s="50">
        <v>71741.13</v>
      </c>
      <c r="F12" s="50"/>
      <c r="G12" s="50">
        <v>3487.84</v>
      </c>
      <c r="H12" s="50"/>
      <c r="I12" s="50">
        <v>18413.740000000002</v>
      </c>
      <c r="J12" s="50"/>
      <c r="K12" s="50">
        <v>0</v>
      </c>
      <c r="L12" s="50"/>
      <c r="M12" s="50">
        <v>-49839.55</v>
      </c>
      <c r="N12" s="50"/>
      <c r="O12" s="50">
        <f t="shared" ref="O12:O14" si="4">-E12+G12+I12+K12</f>
        <v>-49839.55</v>
      </c>
      <c r="P12" s="50"/>
      <c r="Q12" s="50">
        <v>35092.199999999997</v>
      </c>
      <c r="R12" s="50"/>
      <c r="S12" s="50">
        <v>0</v>
      </c>
      <c r="T12" s="50"/>
      <c r="U12" s="50">
        <v>16696.150000000001</v>
      </c>
      <c r="V12" s="50"/>
      <c r="W12" s="50">
        <v>84.01</v>
      </c>
      <c r="X12" s="50"/>
      <c r="Y12" s="50">
        <v>0</v>
      </c>
      <c r="Z12" s="50"/>
      <c r="AA12" s="50">
        <v>1338.94</v>
      </c>
      <c r="AB12" s="50"/>
      <c r="AC12" s="50">
        <v>0</v>
      </c>
      <c r="AD12" s="50"/>
      <c r="AE12" s="50">
        <v>0</v>
      </c>
      <c r="AF12" s="50"/>
      <c r="AG12" s="50">
        <v>0</v>
      </c>
      <c r="AH12" s="50"/>
      <c r="AI12" s="50">
        <v>0</v>
      </c>
      <c r="AJ12" s="50"/>
      <c r="AK12" s="50">
        <f t="shared" ref="AK12:AK14" si="5">Q12+S12+U12+W12+Y12+AA12+AC12+AE12+AI12+AG12</f>
        <v>53211.3</v>
      </c>
      <c r="AL12" s="50"/>
      <c r="AM12" s="50">
        <f t="shared" ref="AM12:AM14" si="6">AK12+M12</f>
        <v>3371.75</v>
      </c>
      <c r="AN12" s="50"/>
      <c r="AO12" s="50">
        <v>41366.39</v>
      </c>
      <c r="AP12" s="16"/>
      <c r="AQ12" s="50">
        <f>+AM12+AO12</f>
        <v>44738.14</v>
      </c>
      <c r="AR12" s="4"/>
      <c r="AS12" s="20">
        <f t="shared" ref="AS12:AS23" si="7">+M12-O12</f>
        <v>0</v>
      </c>
      <c r="AU12" s="20">
        <f t="shared" ref="AU12:AU23" si="8">+Q12+S12+U12+W12+Y12+AA12+AC12+AE12+AI12-AK12+AG12</f>
        <v>0</v>
      </c>
      <c r="AW12" s="20">
        <f t="shared" ref="AW12:AW23" si="9">+O12+AK12-AM12</f>
        <v>0</v>
      </c>
      <c r="AY12" s="20">
        <f t="shared" ref="AY12:AY23" si="10">+O12+AK12+AO12-AQ12</f>
        <v>0</v>
      </c>
    </row>
    <row r="13" spans="1:51" s="4" customFormat="1" x14ac:dyDescent="0.2">
      <c r="A13" s="1" t="s">
        <v>35</v>
      </c>
      <c r="B13" s="1"/>
      <c r="C13" s="1" t="s">
        <v>277</v>
      </c>
      <c r="D13" s="1"/>
      <c r="E13" s="16">
        <v>2538560.42</v>
      </c>
      <c r="F13" s="16"/>
      <c r="G13" s="16">
        <v>140449.14000000001</v>
      </c>
      <c r="H13" s="16"/>
      <c r="I13" s="16">
        <v>217361.13</v>
      </c>
      <c r="J13" s="16"/>
      <c r="K13" s="16">
        <v>0</v>
      </c>
      <c r="L13" s="16"/>
      <c r="M13" s="16">
        <v>-2180750.15</v>
      </c>
      <c r="N13" s="16"/>
      <c r="O13" s="16">
        <f t="shared" si="4"/>
        <v>-2180750.15</v>
      </c>
      <c r="P13" s="16"/>
      <c r="Q13" s="16">
        <v>1014107.42</v>
      </c>
      <c r="R13" s="16"/>
      <c r="S13" s="16">
        <v>0</v>
      </c>
      <c r="T13" s="16"/>
      <c r="U13" s="16">
        <v>66299.8</v>
      </c>
      <c r="V13" s="16"/>
      <c r="W13" s="16">
        <v>0</v>
      </c>
      <c r="X13" s="16"/>
      <c r="Y13" s="16">
        <v>0</v>
      </c>
      <c r="Z13" s="16"/>
      <c r="AA13" s="16">
        <v>985649.16</v>
      </c>
      <c r="AB13" s="16"/>
      <c r="AC13" s="16">
        <v>0</v>
      </c>
      <c r="AD13" s="16"/>
      <c r="AE13" s="16">
        <v>0</v>
      </c>
      <c r="AF13" s="16"/>
      <c r="AG13" s="16">
        <v>0</v>
      </c>
      <c r="AH13" s="16"/>
      <c r="AI13" s="16">
        <v>3950</v>
      </c>
      <c r="AJ13" s="16"/>
      <c r="AK13" s="16">
        <f t="shared" si="5"/>
        <v>2070006.38</v>
      </c>
      <c r="AL13" s="16"/>
      <c r="AM13" s="16">
        <f t="shared" si="6"/>
        <v>-110743.77000000002</v>
      </c>
      <c r="AN13" s="16"/>
      <c r="AO13" s="16">
        <v>1241639.42</v>
      </c>
      <c r="AP13" s="16"/>
      <c r="AQ13" s="16">
        <f t="shared" ref="AQ13:AQ33" si="11">+AM13+AO13</f>
        <v>1130895.6499999999</v>
      </c>
      <c r="AS13" s="20">
        <f t="shared" si="7"/>
        <v>0</v>
      </c>
      <c r="AT13" s="20"/>
      <c r="AU13" s="20">
        <f t="shared" si="8"/>
        <v>0</v>
      </c>
      <c r="AV13" s="20"/>
      <c r="AW13" s="20">
        <f t="shared" si="9"/>
        <v>0</v>
      </c>
      <c r="AX13" s="20"/>
      <c r="AY13" s="20">
        <f t="shared" si="10"/>
        <v>0</v>
      </c>
    </row>
    <row r="14" spans="1:51" s="4" customFormat="1" x14ac:dyDescent="0.2">
      <c r="A14" s="1" t="s">
        <v>9</v>
      </c>
      <c r="B14" s="1"/>
      <c r="C14" s="1" t="s">
        <v>253</v>
      </c>
      <c r="D14" s="1"/>
      <c r="E14" s="16">
        <v>66652.210000000006</v>
      </c>
      <c r="F14" s="16"/>
      <c r="G14" s="16">
        <v>1795.07</v>
      </c>
      <c r="H14" s="16"/>
      <c r="I14" s="16">
        <v>11160.16</v>
      </c>
      <c r="J14" s="16"/>
      <c r="K14" s="16">
        <v>2500</v>
      </c>
      <c r="L14" s="16"/>
      <c r="M14" s="16">
        <v>-51196.98</v>
      </c>
      <c r="N14" s="16"/>
      <c r="O14" s="16">
        <f t="shared" si="4"/>
        <v>-51196.98000000001</v>
      </c>
      <c r="P14" s="16"/>
      <c r="Q14" s="16">
        <v>41146.53</v>
      </c>
      <c r="R14" s="16"/>
      <c r="S14" s="16">
        <v>0</v>
      </c>
      <c r="T14" s="16"/>
      <c r="U14" s="16">
        <v>2101.5300000000002</v>
      </c>
      <c r="V14" s="16"/>
      <c r="W14" s="16">
        <v>49.7</v>
      </c>
      <c r="X14" s="16"/>
      <c r="Y14" s="16">
        <v>0</v>
      </c>
      <c r="Z14" s="16"/>
      <c r="AA14" s="16">
        <v>3711.55</v>
      </c>
      <c r="AB14" s="16"/>
      <c r="AC14" s="16">
        <v>0</v>
      </c>
      <c r="AD14" s="16"/>
      <c r="AE14" s="16">
        <v>0</v>
      </c>
      <c r="AF14" s="16"/>
      <c r="AG14" s="16">
        <v>0</v>
      </c>
      <c r="AH14" s="16"/>
      <c r="AI14" s="16">
        <v>0</v>
      </c>
      <c r="AJ14" s="16"/>
      <c r="AK14" s="16">
        <f t="shared" si="5"/>
        <v>47009.31</v>
      </c>
      <c r="AL14" s="16"/>
      <c r="AM14" s="16">
        <f t="shared" si="6"/>
        <v>-4187.6700000000055</v>
      </c>
      <c r="AN14" s="16"/>
      <c r="AO14" s="16">
        <v>64453.86</v>
      </c>
      <c r="AP14" s="16"/>
      <c r="AQ14" s="16">
        <f t="shared" si="11"/>
        <v>60266.189999999995</v>
      </c>
      <c r="AS14" s="20">
        <f t="shared" si="7"/>
        <v>0</v>
      </c>
      <c r="AT14" s="20"/>
      <c r="AU14" s="20">
        <f t="shared" si="8"/>
        <v>0</v>
      </c>
      <c r="AV14" s="20"/>
      <c r="AW14" s="20">
        <f t="shared" si="9"/>
        <v>-7.2759576141834259E-12</v>
      </c>
      <c r="AX14" s="20"/>
      <c r="AY14" s="20">
        <f t="shared" si="10"/>
        <v>0</v>
      </c>
    </row>
    <row r="15" spans="1:51" s="4" customFormat="1" x14ac:dyDescent="0.2">
      <c r="A15" s="4" t="s">
        <v>307</v>
      </c>
      <c r="C15" s="4" t="s">
        <v>306</v>
      </c>
      <c r="E15" s="16">
        <v>1002236</v>
      </c>
      <c r="F15" s="16"/>
      <c r="G15" s="16">
        <v>88011</v>
      </c>
      <c r="H15" s="16"/>
      <c r="I15" s="16">
        <v>203442</v>
      </c>
      <c r="J15" s="16"/>
      <c r="K15" s="16">
        <v>71074</v>
      </c>
      <c r="L15" s="16"/>
      <c r="M15" s="16">
        <f>SUM(G15:K15)-E15</f>
        <v>-639709</v>
      </c>
      <c r="N15" s="16"/>
      <c r="O15" s="16">
        <f>-E15+G15+I15+K15</f>
        <v>-639709</v>
      </c>
      <c r="P15" s="16"/>
      <c r="Q15" s="16">
        <f>66814+8333+8455+28507</f>
        <v>112109</v>
      </c>
      <c r="R15" s="16"/>
      <c r="S15" s="16">
        <v>467165</v>
      </c>
      <c r="T15" s="16"/>
      <c r="U15" s="16">
        <v>62024</v>
      </c>
      <c r="V15" s="16"/>
      <c r="W15" s="16">
        <v>13698</v>
      </c>
      <c r="X15" s="16"/>
      <c r="Y15" s="16">
        <v>0</v>
      </c>
      <c r="Z15" s="16"/>
      <c r="AA15" s="16">
        <f>21796+7853</f>
        <v>29649</v>
      </c>
      <c r="AB15" s="16"/>
      <c r="AC15" s="16">
        <v>70000</v>
      </c>
      <c r="AD15" s="16"/>
      <c r="AE15" s="16">
        <v>67279</v>
      </c>
      <c r="AF15" s="16"/>
      <c r="AG15" s="16">
        <v>0</v>
      </c>
      <c r="AH15" s="16"/>
      <c r="AI15" s="16">
        <v>0</v>
      </c>
      <c r="AJ15" s="16"/>
      <c r="AK15" s="16">
        <f>Q15+S15+U15+W15+Y15+AA15+AC15+AE15+AI15+AG15</f>
        <v>821924</v>
      </c>
      <c r="AL15" s="16"/>
      <c r="AM15" s="16">
        <f>AK15+M15</f>
        <v>182215</v>
      </c>
      <c r="AN15" s="16"/>
      <c r="AO15" s="16">
        <v>1766120</v>
      </c>
      <c r="AP15" s="16"/>
      <c r="AQ15" s="16">
        <f t="shared" si="11"/>
        <v>1948335</v>
      </c>
      <c r="AS15" s="20">
        <f t="shared" si="7"/>
        <v>0</v>
      </c>
      <c r="AT15" s="20"/>
      <c r="AU15" s="20">
        <f t="shared" si="8"/>
        <v>0</v>
      </c>
      <c r="AV15" s="20"/>
      <c r="AW15" s="20">
        <f t="shared" si="9"/>
        <v>0</v>
      </c>
      <c r="AX15" s="20"/>
      <c r="AY15" s="20">
        <f t="shared" si="10"/>
        <v>0</v>
      </c>
    </row>
    <row r="16" spans="1:51" s="4" customFormat="1" x14ac:dyDescent="0.2">
      <c r="A16" s="1" t="s">
        <v>93</v>
      </c>
      <c r="B16" s="1"/>
      <c r="C16" s="1" t="s">
        <v>360</v>
      </c>
      <c r="D16" s="1"/>
      <c r="E16" s="16">
        <v>475017.59</v>
      </c>
      <c r="F16" s="16"/>
      <c r="G16" s="16">
        <v>39687.67</v>
      </c>
      <c r="H16" s="16"/>
      <c r="I16" s="16">
        <v>82358.77</v>
      </c>
      <c r="J16" s="16"/>
      <c r="K16" s="16">
        <v>0</v>
      </c>
      <c r="L16" s="16"/>
      <c r="M16" s="16">
        <v>-352971.15</v>
      </c>
      <c r="N16" s="16"/>
      <c r="O16" s="16">
        <f t="shared" ref="O16:O79" si="12">-E16+G16+I16+K16</f>
        <v>-352971.15</v>
      </c>
      <c r="P16" s="16"/>
      <c r="Q16" s="16">
        <v>167130.07999999999</v>
      </c>
      <c r="R16" s="16"/>
      <c r="S16" s="16">
        <v>198381.96</v>
      </c>
      <c r="T16" s="16"/>
      <c r="U16" s="16">
        <v>78348.09</v>
      </c>
      <c r="V16" s="16"/>
      <c r="W16" s="16">
        <v>11967.14</v>
      </c>
      <c r="X16" s="16"/>
      <c r="Y16" s="16">
        <v>0</v>
      </c>
      <c r="Z16" s="16"/>
      <c r="AA16" s="16">
        <v>19859.55</v>
      </c>
      <c r="AB16" s="16"/>
      <c r="AC16" s="16">
        <v>0</v>
      </c>
      <c r="AD16" s="16"/>
      <c r="AE16" s="16">
        <v>-74000</v>
      </c>
      <c r="AF16" s="16"/>
      <c r="AG16" s="16">
        <v>0</v>
      </c>
      <c r="AH16" s="16"/>
      <c r="AI16" s="16">
        <v>0</v>
      </c>
      <c r="AJ16" s="16"/>
      <c r="AK16" s="16">
        <f t="shared" ref="AK16:AK79" si="13">Q16+S16+U16+W16+Y16+AA16+AC16+AE16+AI16+AG16</f>
        <v>401686.82</v>
      </c>
      <c r="AL16" s="16"/>
      <c r="AM16" s="16">
        <f t="shared" ref="AM16:AM79" si="14">AK16+M16</f>
        <v>48715.669999999984</v>
      </c>
      <c r="AN16" s="16"/>
      <c r="AO16" s="16">
        <v>303094.34000000003</v>
      </c>
      <c r="AP16" s="16"/>
      <c r="AQ16" s="16">
        <f t="shared" si="11"/>
        <v>351810.01</v>
      </c>
      <c r="AS16" s="20">
        <f t="shared" si="7"/>
        <v>0</v>
      </c>
      <c r="AT16" s="20"/>
      <c r="AU16" s="20">
        <f t="shared" si="8"/>
        <v>0</v>
      </c>
      <c r="AV16" s="20"/>
      <c r="AW16" s="20">
        <f t="shared" si="9"/>
        <v>0</v>
      </c>
      <c r="AX16" s="20"/>
      <c r="AY16" s="20">
        <f t="shared" si="10"/>
        <v>0</v>
      </c>
    </row>
    <row r="17" spans="1:51" s="4" customFormat="1" x14ac:dyDescent="0.2">
      <c r="A17" s="1" t="s">
        <v>151</v>
      </c>
      <c r="B17" s="1"/>
      <c r="C17" s="1" t="s">
        <v>441</v>
      </c>
      <c r="D17" s="1"/>
      <c r="E17" s="16">
        <v>52086.13</v>
      </c>
      <c r="F17" s="16"/>
      <c r="G17" s="16">
        <v>0</v>
      </c>
      <c r="H17" s="16"/>
      <c r="I17" s="16">
        <v>16745.599999999999</v>
      </c>
      <c r="J17" s="16"/>
      <c r="K17" s="16">
        <v>0</v>
      </c>
      <c r="L17" s="16"/>
      <c r="M17" s="16">
        <v>-35340.53</v>
      </c>
      <c r="N17" s="16"/>
      <c r="O17" s="16">
        <f t="shared" si="12"/>
        <v>-35340.53</v>
      </c>
      <c r="P17" s="16"/>
      <c r="Q17" s="16">
        <v>14718.06</v>
      </c>
      <c r="R17" s="16"/>
      <c r="S17" s="16">
        <v>0</v>
      </c>
      <c r="T17" s="16"/>
      <c r="U17" s="16">
        <v>8602.09</v>
      </c>
      <c r="V17" s="16"/>
      <c r="W17" s="16">
        <v>5</v>
      </c>
      <c r="X17" s="16"/>
      <c r="Y17" s="16">
        <v>0</v>
      </c>
      <c r="Z17" s="16"/>
      <c r="AA17" s="16">
        <v>6320.21</v>
      </c>
      <c r="AB17" s="16"/>
      <c r="AC17" s="16">
        <v>0</v>
      </c>
      <c r="AD17" s="16"/>
      <c r="AE17" s="16">
        <v>0</v>
      </c>
      <c r="AF17" s="16"/>
      <c r="AG17" s="16">
        <v>0</v>
      </c>
      <c r="AH17" s="16"/>
      <c r="AI17" s="16">
        <v>0</v>
      </c>
      <c r="AJ17" s="16"/>
      <c r="AK17" s="16">
        <f t="shared" si="13"/>
        <v>29645.360000000001</v>
      </c>
      <c r="AL17" s="16"/>
      <c r="AM17" s="16">
        <f t="shared" si="14"/>
        <v>-5695.1699999999983</v>
      </c>
      <c r="AN17" s="16"/>
      <c r="AO17" s="16">
        <v>60880.37</v>
      </c>
      <c r="AP17" s="16"/>
      <c r="AQ17" s="16">
        <f t="shared" si="11"/>
        <v>55185.200000000004</v>
      </c>
      <c r="AS17" s="20">
        <f t="shared" si="7"/>
        <v>0</v>
      </c>
      <c r="AT17" s="20"/>
      <c r="AU17" s="20">
        <f t="shared" si="8"/>
        <v>0</v>
      </c>
      <c r="AV17" s="20"/>
      <c r="AW17" s="20">
        <f t="shared" si="9"/>
        <v>0</v>
      </c>
      <c r="AX17" s="20"/>
      <c r="AY17" s="20">
        <f t="shared" si="10"/>
        <v>0</v>
      </c>
    </row>
    <row r="18" spans="1:51" s="4" customFormat="1" x14ac:dyDescent="0.2">
      <c r="A18" s="1" t="s">
        <v>456</v>
      </c>
      <c r="B18" s="1"/>
      <c r="C18" s="1" t="s">
        <v>455</v>
      </c>
      <c r="D18" s="1"/>
      <c r="E18" s="16">
        <v>36405.49</v>
      </c>
      <c r="F18" s="16"/>
      <c r="G18" s="16">
        <v>1077.33</v>
      </c>
      <c r="H18" s="16"/>
      <c r="I18" s="16">
        <v>7517.95</v>
      </c>
      <c r="J18" s="16"/>
      <c r="K18" s="16">
        <v>0</v>
      </c>
      <c r="L18" s="16"/>
      <c r="M18" s="16">
        <v>-27810.21</v>
      </c>
      <c r="N18" s="16"/>
      <c r="O18" s="16">
        <f t="shared" si="12"/>
        <v>-27810.209999999995</v>
      </c>
      <c r="P18" s="16"/>
      <c r="Q18" s="16">
        <v>10427.530000000001</v>
      </c>
      <c r="R18" s="16"/>
      <c r="S18" s="16">
        <v>0</v>
      </c>
      <c r="T18" s="16"/>
      <c r="U18" s="16">
        <v>16273.54</v>
      </c>
      <c r="V18" s="16"/>
      <c r="W18" s="16">
        <v>14.93</v>
      </c>
      <c r="X18" s="16"/>
      <c r="Y18" s="16">
        <v>0</v>
      </c>
      <c r="Z18" s="16"/>
      <c r="AA18" s="16">
        <v>0</v>
      </c>
      <c r="AB18" s="16"/>
      <c r="AC18" s="16">
        <v>0</v>
      </c>
      <c r="AD18" s="16"/>
      <c r="AE18" s="16">
        <v>0</v>
      </c>
      <c r="AF18" s="16"/>
      <c r="AG18" s="16">
        <v>0</v>
      </c>
      <c r="AH18" s="16"/>
      <c r="AI18" s="16">
        <v>0</v>
      </c>
      <c r="AJ18" s="16"/>
      <c r="AK18" s="16">
        <f t="shared" si="13"/>
        <v>26716</v>
      </c>
      <c r="AL18" s="16"/>
      <c r="AM18" s="16">
        <f t="shared" si="14"/>
        <v>-1094.2099999999991</v>
      </c>
      <c r="AN18" s="16"/>
      <c r="AO18" s="16">
        <v>19345.97</v>
      </c>
      <c r="AP18" s="16"/>
      <c r="AQ18" s="16">
        <f t="shared" si="11"/>
        <v>18251.760000000002</v>
      </c>
      <c r="AS18" s="20">
        <f t="shared" si="7"/>
        <v>0</v>
      </c>
      <c r="AT18" s="20"/>
      <c r="AU18" s="20">
        <f t="shared" si="8"/>
        <v>0</v>
      </c>
      <c r="AV18" s="20"/>
      <c r="AW18" s="20">
        <f t="shared" si="9"/>
        <v>3.637978807091713E-12</v>
      </c>
      <c r="AX18" s="20"/>
      <c r="AY18" s="20">
        <f t="shared" si="10"/>
        <v>0</v>
      </c>
    </row>
    <row r="19" spans="1:51" s="4" customFormat="1" x14ac:dyDescent="0.2">
      <c r="A19" s="1" t="s">
        <v>134</v>
      </c>
      <c r="B19" s="1"/>
      <c r="C19" s="1" t="s">
        <v>429</v>
      </c>
      <c r="D19" s="1"/>
      <c r="E19" s="16">
        <v>663115.82999999996</v>
      </c>
      <c r="F19" s="16"/>
      <c r="G19" s="16">
        <v>131223.62</v>
      </c>
      <c r="H19" s="16"/>
      <c r="I19" s="16">
        <v>0</v>
      </c>
      <c r="J19" s="16"/>
      <c r="K19" s="16">
        <v>2812.5</v>
      </c>
      <c r="L19" s="16"/>
      <c r="M19" s="16">
        <v>-529079.71</v>
      </c>
      <c r="N19" s="16"/>
      <c r="O19" s="16">
        <f t="shared" si="12"/>
        <v>-529079.71</v>
      </c>
      <c r="P19" s="16"/>
      <c r="Q19" s="16">
        <v>256251.07</v>
      </c>
      <c r="R19" s="16"/>
      <c r="S19" s="16">
        <v>0</v>
      </c>
      <c r="T19" s="16"/>
      <c r="U19" s="16">
        <v>5900</v>
      </c>
      <c r="V19" s="16"/>
      <c r="W19" s="16">
        <v>30.79</v>
      </c>
      <c r="X19" s="16"/>
      <c r="Y19" s="16">
        <v>15575.69</v>
      </c>
      <c r="Z19" s="16"/>
      <c r="AA19" s="16">
        <v>348669.04</v>
      </c>
      <c r="AB19" s="16"/>
      <c r="AC19" s="16">
        <v>0</v>
      </c>
      <c r="AD19" s="16"/>
      <c r="AE19" s="16">
        <v>0</v>
      </c>
      <c r="AF19" s="16"/>
      <c r="AG19" s="16">
        <v>0</v>
      </c>
      <c r="AH19" s="16"/>
      <c r="AI19" s="16">
        <v>0</v>
      </c>
      <c r="AJ19" s="16"/>
      <c r="AK19" s="16">
        <f t="shared" si="13"/>
        <v>626426.59</v>
      </c>
      <c r="AL19" s="16"/>
      <c r="AM19" s="16">
        <f t="shared" si="14"/>
        <v>97346.880000000005</v>
      </c>
      <c r="AN19" s="16"/>
      <c r="AO19" s="16">
        <v>625525.6</v>
      </c>
      <c r="AP19" s="16"/>
      <c r="AQ19" s="16">
        <f t="shared" si="11"/>
        <v>722872.48</v>
      </c>
      <c r="AS19" s="20">
        <f t="shared" si="7"/>
        <v>0</v>
      </c>
      <c r="AT19" s="20"/>
      <c r="AU19" s="20">
        <f t="shared" si="8"/>
        <v>0</v>
      </c>
      <c r="AV19" s="20"/>
      <c r="AW19" s="20">
        <f t="shared" si="9"/>
        <v>0</v>
      </c>
      <c r="AX19" s="20"/>
      <c r="AY19" s="20">
        <f t="shared" si="10"/>
        <v>0</v>
      </c>
    </row>
    <row r="20" spans="1:51" s="4" customFormat="1" x14ac:dyDescent="0.2">
      <c r="A20" s="4" t="s">
        <v>292</v>
      </c>
      <c r="C20" s="4" t="s">
        <v>293</v>
      </c>
      <c r="E20" s="16">
        <v>1724689</v>
      </c>
      <c r="F20" s="16"/>
      <c r="G20" s="16">
        <v>27780</v>
      </c>
      <c r="H20" s="16"/>
      <c r="I20" s="16">
        <v>7025</v>
      </c>
      <c r="J20" s="16"/>
      <c r="K20" s="16">
        <v>122151</v>
      </c>
      <c r="L20" s="16"/>
      <c r="M20" s="16">
        <f>SUM(G20:K20)-E20</f>
        <v>-1567733</v>
      </c>
      <c r="N20" s="16"/>
      <c r="O20" s="16">
        <f t="shared" si="12"/>
        <v>-1567733</v>
      </c>
      <c r="P20" s="16"/>
      <c r="Q20" s="16">
        <f>568248+111328</f>
        <v>679576</v>
      </c>
      <c r="R20" s="16"/>
      <c r="S20" s="16">
        <v>854973</v>
      </c>
      <c r="T20" s="16"/>
      <c r="U20" s="16">
        <v>0</v>
      </c>
      <c r="V20" s="16"/>
      <c r="W20" s="16">
        <v>5381</v>
      </c>
      <c r="X20" s="16"/>
      <c r="Y20" s="16">
        <v>16367</v>
      </c>
      <c r="Z20" s="16"/>
      <c r="AA20" s="16">
        <v>21224</v>
      </c>
      <c r="AB20" s="16"/>
      <c r="AC20" s="16">
        <v>0</v>
      </c>
      <c r="AD20" s="16"/>
      <c r="AE20" s="16">
        <v>0</v>
      </c>
      <c r="AF20" s="16"/>
      <c r="AG20" s="16">
        <v>0</v>
      </c>
      <c r="AH20" s="16"/>
      <c r="AI20" s="16">
        <v>0</v>
      </c>
      <c r="AJ20" s="16"/>
      <c r="AK20" s="16">
        <f t="shared" si="13"/>
        <v>1577521</v>
      </c>
      <c r="AL20" s="16"/>
      <c r="AM20" s="16">
        <f t="shared" si="14"/>
        <v>9788</v>
      </c>
      <c r="AN20" s="16"/>
      <c r="AO20" s="16">
        <v>1386849</v>
      </c>
      <c r="AP20" s="16"/>
      <c r="AQ20" s="16">
        <f t="shared" si="11"/>
        <v>1396637</v>
      </c>
      <c r="AS20" s="20">
        <f t="shared" si="7"/>
        <v>0</v>
      </c>
      <c r="AT20" s="20"/>
      <c r="AU20" s="20">
        <f t="shared" si="8"/>
        <v>0</v>
      </c>
      <c r="AV20" s="20"/>
      <c r="AW20" s="20">
        <f t="shared" si="9"/>
        <v>0</v>
      </c>
      <c r="AX20" s="20"/>
      <c r="AY20" s="20">
        <f t="shared" si="10"/>
        <v>0</v>
      </c>
    </row>
    <row r="21" spans="1:51" s="4" customFormat="1" x14ac:dyDescent="0.2">
      <c r="A21" s="1" t="s">
        <v>294</v>
      </c>
      <c r="B21" s="1"/>
      <c r="C21" s="1" t="s">
        <v>293</v>
      </c>
      <c r="D21" s="1"/>
      <c r="E21" s="16">
        <v>4614353.18</v>
      </c>
      <c r="F21" s="16"/>
      <c r="G21" s="16">
        <v>581784.65</v>
      </c>
      <c r="H21" s="16"/>
      <c r="I21" s="16">
        <v>78509.429999999993</v>
      </c>
      <c r="J21" s="16"/>
      <c r="K21" s="16">
        <v>9106</v>
      </c>
      <c r="L21" s="16"/>
      <c r="M21" s="16">
        <v>-3944953.1</v>
      </c>
      <c r="N21" s="16"/>
      <c r="O21" s="16">
        <f t="shared" si="12"/>
        <v>-3944953.0999999996</v>
      </c>
      <c r="P21" s="16"/>
      <c r="Q21" s="16">
        <v>1329413.6499999999</v>
      </c>
      <c r="R21" s="16"/>
      <c r="S21" s="16">
        <v>1955289.09</v>
      </c>
      <c r="T21" s="16"/>
      <c r="U21" s="16">
        <v>318900.44</v>
      </c>
      <c r="V21" s="16"/>
      <c r="W21" s="16">
        <v>2396.3200000000002</v>
      </c>
      <c r="X21" s="16"/>
      <c r="Y21" s="16">
        <v>24891.200000000001</v>
      </c>
      <c r="Z21" s="16"/>
      <c r="AA21" s="16">
        <v>628189.04</v>
      </c>
      <c r="AB21" s="16"/>
      <c r="AC21" s="16">
        <v>0</v>
      </c>
      <c r="AD21" s="16"/>
      <c r="AE21" s="16">
        <v>0</v>
      </c>
      <c r="AF21" s="16"/>
      <c r="AG21" s="16">
        <v>0</v>
      </c>
      <c r="AH21" s="16"/>
      <c r="AI21" s="16">
        <v>0</v>
      </c>
      <c r="AJ21" s="16"/>
      <c r="AK21" s="16">
        <f t="shared" si="13"/>
        <v>4259079.74</v>
      </c>
      <c r="AL21" s="16"/>
      <c r="AM21" s="16">
        <f t="shared" si="14"/>
        <v>314126.64000000013</v>
      </c>
      <c r="AN21" s="16"/>
      <c r="AO21" s="16">
        <v>1564868.88</v>
      </c>
      <c r="AP21" s="16"/>
      <c r="AQ21" s="16">
        <f t="shared" si="11"/>
        <v>1878995.52</v>
      </c>
      <c r="AS21" s="20">
        <f t="shared" si="7"/>
        <v>0</v>
      </c>
      <c r="AT21" s="20"/>
      <c r="AU21" s="20">
        <f t="shared" si="8"/>
        <v>0</v>
      </c>
      <c r="AV21" s="20"/>
      <c r="AW21" s="20">
        <f t="shared" si="9"/>
        <v>4.6566128730773926E-10</v>
      </c>
      <c r="AX21" s="20"/>
      <c r="AY21" s="20">
        <f t="shared" si="10"/>
        <v>0</v>
      </c>
    </row>
    <row r="22" spans="1:51" s="4" customFormat="1" x14ac:dyDescent="0.2">
      <c r="A22" s="1" t="s">
        <v>67</v>
      </c>
      <c r="B22" s="1"/>
      <c r="C22" s="1" t="s">
        <v>329</v>
      </c>
      <c r="D22" s="1"/>
      <c r="E22" s="16">
        <v>311669.99</v>
      </c>
      <c r="F22" s="16"/>
      <c r="G22" s="16">
        <v>226273.25</v>
      </c>
      <c r="H22" s="16"/>
      <c r="I22" s="16">
        <v>5558.93</v>
      </c>
      <c r="J22" s="16"/>
      <c r="K22" s="16">
        <v>0</v>
      </c>
      <c r="L22" s="16"/>
      <c r="M22" s="16">
        <v>-79837.81</v>
      </c>
      <c r="N22" s="16"/>
      <c r="O22" s="16">
        <f t="shared" si="12"/>
        <v>-79837.81</v>
      </c>
      <c r="P22" s="16"/>
      <c r="Q22" s="16">
        <v>8456.6200000000008</v>
      </c>
      <c r="R22" s="16"/>
      <c r="S22" s="16">
        <v>31944.86</v>
      </c>
      <c r="T22" s="16"/>
      <c r="U22" s="16">
        <v>6296.76</v>
      </c>
      <c r="V22" s="16"/>
      <c r="W22" s="16">
        <v>3.77</v>
      </c>
      <c r="X22" s="16"/>
      <c r="Y22" s="16">
        <v>0</v>
      </c>
      <c r="Z22" s="16"/>
      <c r="AA22" s="16">
        <v>14094.18</v>
      </c>
      <c r="AB22" s="16"/>
      <c r="AC22" s="16">
        <v>1109.9100000000001</v>
      </c>
      <c r="AD22" s="16"/>
      <c r="AE22" s="16">
        <v>0</v>
      </c>
      <c r="AF22" s="16"/>
      <c r="AG22" s="16">
        <v>0</v>
      </c>
      <c r="AH22" s="16"/>
      <c r="AI22" s="16">
        <v>0</v>
      </c>
      <c r="AJ22" s="16"/>
      <c r="AK22" s="16">
        <f t="shared" si="13"/>
        <v>61906.100000000006</v>
      </c>
      <c r="AL22" s="16"/>
      <c r="AM22" s="16">
        <f t="shared" si="14"/>
        <v>-17931.709999999992</v>
      </c>
      <c r="AN22" s="16"/>
      <c r="AO22" s="16">
        <v>49100.21</v>
      </c>
      <c r="AP22" s="16"/>
      <c r="AQ22" s="16">
        <f t="shared" si="11"/>
        <v>31168.500000000007</v>
      </c>
      <c r="AS22" s="20">
        <f t="shared" si="7"/>
        <v>0</v>
      </c>
      <c r="AT22" s="20"/>
      <c r="AU22" s="20">
        <f t="shared" si="8"/>
        <v>0</v>
      </c>
      <c r="AV22" s="20"/>
      <c r="AW22" s="20">
        <f t="shared" si="9"/>
        <v>0</v>
      </c>
      <c r="AX22" s="20"/>
      <c r="AY22" s="20">
        <f t="shared" si="10"/>
        <v>0</v>
      </c>
    </row>
    <row r="23" spans="1:51" s="4" customFormat="1" x14ac:dyDescent="0.2">
      <c r="A23" s="4" t="s">
        <v>295</v>
      </c>
      <c r="C23" s="4" t="s">
        <v>293</v>
      </c>
      <c r="E23" s="16">
        <v>6089119</v>
      </c>
      <c r="F23" s="16"/>
      <c r="G23" s="16">
        <v>236093</v>
      </c>
      <c r="H23" s="16"/>
      <c r="I23" s="16">
        <v>132419</v>
      </c>
      <c r="J23" s="16"/>
      <c r="K23" s="16">
        <v>30601</v>
      </c>
      <c r="L23" s="16"/>
      <c r="M23" s="16">
        <f>SUM(G23:K23)-E23</f>
        <v>-5690006</v>
      </c>
      <c r="N23" s="16"/>
      <c r="O23" s="16">
        <f t="shared" si="12"/>
        <v>-5690006</v>
      </c>
      <c r="P23" s="16"/>
      <c r="Q23" s="16">
        <f>304048+22247+38457</f>
        <v>364752</v>
      </c>
      <c r="R23" s="16"/>
      <c r="S23" s="16">
        <v>4611951</v>
      </c>
      <c r="T23" s="16"/>
      <c r="U23" s="16">
        <v>354378</v>
      </c>
      <c r="V23" s="16"/>
      <c r="W23" s="16">
        <v>7368</v>
      </c>
      <c r="X23" s="16"/>
      <c r="Y23" s="16">
        <v>6116</v>
      </c>
      <c r="Z23" s="16"/>
      <c r="AA23" s="16">
        <f>6635+77516</f>
        <v>84151</v>
      </c>
      <c r="AB23" s="16"/>
      <c r="AC23" s="16">
        <v>0</v>
      </c>
      <c r="AD23" s="16"/>
      <c r="AE23" s="16">
        <v>0</v>
      </c>
      <c r="AF23" s="16"/>
      <c r="AG23" s="16">
        <v>0</v>
      </c>
      <c r="AH23" s="16"/>
      <c r="AI23" s="16">
        <v>0</v>
      </c>
      <c r="AJ23" s="16"/>
      <c r="AK23" s="16">
        <f t="shared" si="13"/>
        <v>5428716</v>
      </c>
      <c r="AL23" s="16"/>
      <c r="AM23" s="16">
        <f t="shared" si="14"/>
        <v>-261290</v>
      </c>
      <c r="AN23" s="16"/>
      <c r="AO23" s="16">
        <v>3972527</v>
      </c>
      <c r="AP23" s="16"/>
      <c r="AQ23" s="16">
        <f t="shared" si="11"/>
        <v>3711237</v>
      </c>
      <c r="AS23" s="20">
        <f t="shared" si="7"/>
        <v>0</v>
      </c>
      <c r="AT23" s="20"/>
      <c r="AU23" s="20">
        <f t="shared" si="8"/>
        <v>0</v>
      </c>
      <c r="AV23" s="20"/>
      <c r="AW23" s="20">
        <f t="shared" si="9"/>
        <v>0</v>
      </c>
      <c r="AX23" s="20"/>
      <c r="AY23" s="20">
        <f t="shared" si="10"/>
        <v>0</v>
      </c>
    </row>
    <row r="24" spans="1:51" s="4" customFormat="1" x14ac:dyDescent="0.2">
      <c r="A24" s="1" t="s">
        <v>156</v>
      </c>
      <c r="B24" s="1"/>
      <c r="C24" s="1" t="s">
        <v>226</v>
      </c>
      <c r="D24" s="1"/>
      <c r="E24" s="16">
        <v>991637.34</v>
      </c>
      <c r="F24" s="16"/>
      <c r="G24" s="16">
        <v>185954.34</v>
      </c>
      <c r="H24" s="16"/>
      <c r="I24" s="16">
        <v>72801.899999999994</v>
      </c>
      <c r="J24" s="16"/>
      <c r="K24" s="16">
        <v>0</v>
      </c>
      <c r="L24" s="16"/>
      <c r="M24" s="16">
        <v>-732881.1</v>
      </c>
      <c r="N24" s="16"/>
      <c r="O24" s="16">
        <f t="shared" si="12"/>
        <v>-732881.1</v>
      </c>
      <c r="P24" s="16"/>
      <c r="Q24" s="16">
        <v>309908.5</v>
      </c>
      <c r="R24" s="16"/>
      <c r="S24" s="16">
        <v>601361.26</v>
      </c>
      <c r="T24" s="16"/>
      <c r="U24" s="16">
        <v>36788.49</v>
      </c>
      <c r="V24" s="16"/>
      <c r="W24" s="16">
        <v>1732.07</v>
      </c>
      <c r="X24" s="16"/>
      <c r="Y24" s="16">
        <v>14629.27</v>
      </c>
      <c r="Z24" s="16"/>
      <c r="AA24" s="16">
        <v>14533.61</v>
      </c>
      <c r="AB24" s="16"/>
      <c r="AC24" s="16">
        <v>0</v>
      </c>
      <c r="AD24" s="16"/>
      <c r="AE24" s="16">
        <v>0</v>
      </c>
      <c r="AF24" s="16"/>
      <c r="AG24" s="16">
        <v>0</v>
      </c>
      <c r="AH24" s="16"/>
      <c r="AI24" s="16">
        <v>0</v>
      </c>
      <c r="AJ24" s="16"/>
      <c r="AK24" s="16">
        <f t="shared" si="13"/>
        <v>978953.2</v>
      </c>
      <c r="AL24" s="16"/>
      <c r="AM24" s="16">
        <f t="shared" si="14"/>
        <v>246072.09999999998</v>
      </c>
      <c r="AN24" s="16"/>
      <c r="AO24" s="16">
        <v>991430.14</v>
      </c>
      <c r="AP24" s="16"/>
      <c r="AQ24" s="16">
        <f t="shared" si="11"/>
        <v>1237502.24</v>
      </c>
      <c r="AS24" s="20">
        <f t="shared" ref="AS24:AS30" si="15">+M24-O24</f>
        <v>0</v>
      </c>
      <c r="AT24" s="20"/>
      <c r="AU24" s="20">
        <f t="shared" ref="AU24:AU30" si="16">+Q24+S24+U24+W24+Y24+AA24+AC24+AE24+AI24-AK24+AG24</f>
        <v>0</v>
      </c>
      <c r="AV24" s="20"/>
      <c r="AW24" s="20">
        <f t="shared" ref="AW24:AW30" si="17">+O24+AK24-AM24</f>
        <v>0</v>
      </c>
      <c r="AX24" s="20"/>
      <c r="AY24" s="20">
        <f t="shared" ref="AY24:AY30" si="18">+O24+AK24+AO24-AQ24</f>
        <v>0</v>
      </c>
    </row>
    <row r="25" spans="1:51" s="4" customFormat="1" x14ac:dyDescent="0.2">
      <c r="A25" s="4" t="s">
        <v>565</v>
      </c>
      <c r="C25" s="4" t="s">
        <v>566</v>
      </c>
      <c r="E25" s="16">
        <v>1710867</v>
      </c>
      <c r="F25" s="16"/>
      <c r="G25" s="16">
        <v>97552</v>
      </c>
      <c r="H25" s="16"/>
      <c r="I25" s="16">
        <v>221080</v>
      </c>
      <c r="J25" s="16"/>
      <c r="K25" s="16">
        <v>0</v>
      </c>
      <c r="L25" s="16"/>
      <c r="M25" s="16">
        <f>SUM(G25:K25)-E25</f>
        <v>-1392235</v>
      </c>
      <c r="N25" s="16"/>
      <c r="O25" s="16">
        <f t="shared" si="12"/>
        <v>-1392235</v>
      </c>
      <c r="P25" s="16"/>
      <c r="Q25" s="16">
        <f>84270+298032</f>
        <v>382302</v>
      </c>
      <c r="R25" s="16"/>
      <c r="S25" s="16">
        <v>775781</v>
      </c>
      <c r="T25" s="16"/>
      <c r="U25" s="16">
        <v>82668</v>
      </c>
      <c r="V25" s="16"/>
      <c r="W25" s="16">
        <v>42477</v>
      </c>
      <c r="X25" s="16"/>
      <c r="Y25" s="16">
        <v>0</v>
      </c>
      <c r="Z25" s="16"/>
      <c r="AA25" s="16">
        <f>18590+56387</f>
        <v>74977</v>
      </c>
      <c r="AB25" s="16"/>
      <c r="AC25" s="16">
        <v>0</v>
      </c>
      <c r="AD25" s="16"/>
      <c r="AE25" s="16">
        <v>0</v>
      </c>
      <c r="AF25" s="16"/>
      <c r="AG25" s="16">
        <v>0</v>
      </c>
      <c r="AH25" s="16"/>
      <c r="AI25" s="16">
        <v>0</v>
      </c>
      <c r="AJ25" s="16"/>
      <c r="AK25" s="16">
        <f t="shared" si="13"/>
        <v>1358205</v>
      </c>
      <c r="AL25" s="16"/>
      <c r="AM25" s="16">
        <f t="shared" si="14"/>
        <v>-34030</v>
      </c>
      <c r="AN25" s="16"/>
      <c r="AO25" s="16">
        <v>1400750</v>
      </c>
      <c r="AP25" s="16"/>
      <c r="AQ25" s="16">
        <f t="shared" si="11"/>
        <v>1366720</v>
      </c>
      <c r="AS25" s="20">
        <f t="shared" si="15"/>
        <v>0</v>
      </c>
      <c r="AT25" s="20"/>
      <c r="AU25" s="20">
        <f t="shared" si="16"/>
        <v>0</v>
      </c>
      <c r="AV25" s="20"/>
      <c r="AW25" s="20">
        <f t="shared" si="17"/>
        <v>0</v>
      </c>
      <c r="AX25" s="20"/>
      <c r="AY25" s="20">
        <f t="shared" si="18"/>
        <v>0</v>
      </c>
    </row>
    <row r="26" spans="1:51" s="4" customFormat="1" x14ac:dyDescent="0.2">
      <c r="A26" s="4" t="s">
        <v>816</v>
      </c>
      <c r="C26" s="4" t="s">
        <v>541</v>
      </c>
      <c r="E26" s="16">
        <v>2200891</v>
      </c>
      <c r="F26" s="16"/>
      <c r="G26" s="16">
        <v>372612</v>
      </c>
      <c r="H26" s="16"/>
      <c r="I26" s="16">
        <v>524185</v>
      </c>
      <c r="J26" s="16"/>
      <c r="K26" s="16">
        <v>0</v>
      </c>
      <c r="L26" s="16"/>
      <c r="M26" s="16">
        <f>SUM(G26:K26)-E26</f>
        <v>-1304094</v>
      </c>
      <c r="N26" s="16"/>
      <c r="O26" s="16">
        <f t="shared" si="12"/>
        <v>-1304094</v>
      </c>
      <c r="P26" s="16"/>
      <c r="Q26" s="16">
        <f>60308+122217+165049</f>
        <v>347574</v>
      </c>
      <c r="R26" s="16"/>
      <c r="S26" s="16">
        <f>633051+316527</f>
        <v>949578</v>
      </c>
      <c r="T26" s="16"/>
      <c r="U26" s="16">
        <v>175661</v>
      </c>
      <c r="V26" s="16"/>
      <c r="W26" s="16">
        <v>990</v>
      </c>
      <c r="X26" s="16"/>
      <c r="Y26" s="16">
        <v>0</v>
      </c>
      <c r="Z26" s="16"/>
      <c r="AA26" s="16">
        <v>34477</v>
      </c>
      <c r="AB26" s="16"/>
      <c r="AC26" s="16">
        <v>0</v>
      </c>
      <c r="AD26" s="16"/>
      <c r="AE26" s="16">
        <v>0</v>
      </c>
      <c r="AF26" s="16"/>
      <c r="AG26" s="16">
        <v>0</v>
      </c>
      <c r="AH26" s="16"/>
      <c r="AI26" s="16">
        <v>0</v>
      </c>
      <c r="AJ26" s="16"/>
      <c r="AK26" s="16">
        <f t="shared" si="13"/>
        <v>1508280</v>
      </c>
      <c r="AL26" s="16"/>
      <c r="AM26" s="16">
        <f t="shared" si="14"/>
        <v>204186</v>
      </c>
      <c r="AN26" s="16"/>
      <c r="AO26" s="16">
        <v>4968652</v>
      </c>
      <c r="AP26" s="16"/>
      <c r="AQ26" s="16">
        <f t="shared" si="11"/>
        <v>5172838</v>
      </c>
      <c r="AS26" s="20">
        <f t="shared" si="15"/>
        <v>0</v>
      </c>
      <c r="AT26" s="20"/>
      <c r="AU26" s="20">
        <f t="shared" si="16"/>
        <v>0</v>
      </c>
      <c r="AV26" s="20"/>
      <c r="AW26" s="20">
        <f t="shared" si="17"/>
        <v>0</v>
      </c>
      <c r="AX26" s="20"/>
      <c r="AY26" s="20">
        <f t="shared" si="18"/>
        <v>0</v>
      </c>
    </row>
    <row r="27" spans="1:51" s="4" customFormat="1" x14ac:dyDescent="0.2">
      <c r="A27" s="1" t="s">
        <v>168</v>
      </c>
      <c r="B27" s="1"/>
      <c r="C27" s="1" t="s">
        <v>460</v>
      </c>
      <c r="D27" s="1"/>
      <c r="E27" s="16">
        <v>29588.17</v>
      </c>
      <c r="F27" s="16"/>
      <c r="G27" s="16">
        <v>489.32</v>
      </c>
      <c r="H27" s="16"/>
      <c r="I27" s="16">
        <v>4383.3900000000003</v>
      </c>
      <c r="J27" s="16"/>
      <c r="K27" s="16">
        <v>0</v>
      </c>
      <c r="L27" s="16"/>
      <c r="M27" s="16">
        <v>-24715.46</v>
      </c>
      <c r="N27" s="16"/>
      <c r="O27" s="16">
        <f t="shared" si="12"/>
        <v>-24715.46</v>
      </c>
      <c r="P27" s="16"/>
      <c r="Q27" s="16">
        <v>4267.22</v>
      </c>
      <c r="R27" s="16"/>
      <c r="S27" s="16">
        <v>14960.85</v>
      </c>
      <c r="T27" s="16"/>
      <c r="U27" s="16">
        <v>18278.41</v>
      </c>
      <c r="V27" s="16"/>
      <c r="W27" s="16">
        <v>0</v>
      </c>
      <c r="X27" s="16"/>
      <c r="Y27" s="16">
        <v>0</v>
      </c>
      <c r="Z27" s="16"/>
      <c r="AA27" s="16">
        <v>80.400000000000006</v>
      </c>
      <c r="AB27" s="16"/>
      <c r="AC27" s="16">
        <v>0</v>
      </c>
      <c r="AD27" s="16"/>
      <c r="AE27" s="16">
        <v>0</v>
      </c>
      <c r="AF27" s="16"/>
      <c r="AG27" s="16">
        <v>0</v>
      </c>
      <c r="AH27" s="16"/>
      <c r="AI27" s="16">
        <v>0</v>
      </c>
      <c r="AJ27" s="16"/>
      <c r="AK27" s="16">
        <f t="shared" si="13"/>
        <v>37586.879999999997</v>
      </c>
      <c r="AL27" s="16"/>
      <c r="AM27" s="16">
        <f t="shared" si="14"/>
        <v>12871.419999999998</v>
      </c>
      <c r="AN27" s="16"/>
      <c r="AO27" s="16">
        <v>69165.55</v>
      </c>
      <c r="AP27" s="16"/>
      <c r="AQ27" s="16">
        <f t="shared" si="11"/>
        <v>82036.97</v>
      </c>
      <c r="AS27" s="20">
        <f t="shared" si="15"/>
        <v>0</v>
      </c>
      <c r="AT27" s="20"/>
      <c r="AU27" s="20">
        <f t="shared" si="16"/>
        <v>0</v>
      </c>
      <c r="AV27" s="20"/>
      <c r="AW27" s="20">
        <f t="shared" si="17"/>
        <v>0</v>
      </c>
      <c r="AX27" s="20"/>
      <c r="AY27" s="20">
        <f t="shared" si="18"/>
        <v>0</v>
      </c>
    </row>
    <row r="28" spans="1:51" s="4" customFormat="1" x14ac:dyDescent="0.2">
      <c r="A28" s="1" t="s">
        <v>114</v>
      </c>
      <c r="B28" s="1"/>
      <c r="C28" s="1" t="s">
        <v>396</v>
      </c>
      <c r="D28" s="1"/>
      <c r="E28" s="16">
        <v>724667.18</v>
      </c>
      <c r="F28" s="16"/>
      <c r="G28" s="16">
        <v>5723</v>
      </c>
      <c r="H28" s="16"/>
      <c r="I28" s="16">
        <v>64606.12</v>
      </c>
      <c r="J28" s="16"/>
      <c r="K28" s="16">
        <v>0</v>
      </c>
      <c r="L28" s="16"/>
      <c r="M28" s="16">
        <v>-654338.06000000006</v>
      </c>
      <c r="N28" s="16"/>
      <c r="O28" s="16">
        <f t="shared" si="12"/>
        <v>-654338.06000000006</v>
      </c>
      <c r="P28" s="16"/>
      <c r="Q28" s="16">
        <v>176064.05</v>
      </c>
      <c r="R28" s="16"/>
      <c r="S28" s="16">
        <v>354689.26</v>
      </c>
      <c r="T28" s="16"/>
      <c r="U28" s="16">
        <v>139692.07999999999</v>
      </c>
      <c r="V28" s="16"/>
      <c r="W28" s="16">
        <v>700.59</v>
      </c>
      <c r="X28" s="16"/>
      <c r="Y28" s="16">
        <v>9788.17</v>
      </c>
      <c r="Z28" s="16"/>
      <c r="AA28" s="16">
        <v>16508.77</v>
      </c>
      <c r="AB28" s="16"/>
      <c r="AC28" s="16">
        <v>0</v>
      </c>
      <c r="AD28" s="16"/>
      <c r="AE28" s="16">
        <v>-411.9</v>
      </c>
      <c r="AF28" s="16"/>
      <c r="AG28" s="16">
        <v>0</v>
      </c>
      <c r="AH28" s="16"/>
      <c r="AI28" s="16">
        <v>0</v>
      </c>
      <c r="AJ28" s="16"/>
      <c r="AK28" s="16">
        <f t="shared" si="13"/>
        <v>697031.02</v>
      </c>
      <c r="AL28" s="16"/>
      <c r="AM28" s="16">
        <f t="shared" si="14"/>
        <v>42692.959999999963</v>
      </c>
      <c r="AN28" s="16"/>
      <c r="AO28" s="16">
        <v>446927.51</v>
      </c>
      <c r="AP28" s="16"/>
      <c r="AQ28" s="16">
        <f t="shared" si="11"/>
        <v>489620.47</v>
      </c>
      <c r="AR28" s="21"/>
      <c r="AS28" s="20">
        <f t="shared" si="15"/>
        <v>0</v>
      </c>
      <c r="AT28" s="20"/>
      <c r="AU28" s="20">
        <f t="shared" si="16"/>
        <v>0</v>
      </c>
      <c r="AV28" s="20"/>
      <c r="AW28" s="20">
        <f t="shared" si="17"/>
        <v>0</v>
      </c>
      <c r="AX28" s="20"/>
      <c r="AY28" s="20">
        <f t="shared" si="18"/>
        <v>0</v>
      </c>
    </row>
    <row r="29" spans="1:51" s="4" customFormat="1" x14ac:dyDescent="0.2">
      <c r="A29" s="1" t="s">
        <v>709</v>
      </c>
      <c r="B29" s="1"/>
      <c r="C29" s="1" t="s">
        <v>338</v>
      </c>
      <c r="D29" s="1"/>
      <c r="E29" s="16">
        <v>90562.61</v>
      </c>
      <c r="F29" s="16"/>
      <c r="G29" s="16">
        <v>6257.64</v>
      </c>
      <c r="H29" s="16"/>
      <c r="I29" s="16">
        <v>13745.54</v>
      </c>
      <c r="J29" s="16"/>
      <c r="K29" s="16">
        <v>0</v>
      </c>
      <c r="L29" s="16"/>
      <c r="M29" s="16">
        <v>-70559.429999999993</v>
      </c>
      <c r="N29" s="16"/>
      <c r="O29" s="16">
        <f t="shared" si="12"/>
        <v>-70559.429999999993</v>
      </c>
      <c r="P29" s="16"/>
      <c r="Q29" s="16">
        <v>84.47</v>
      </c>
      <c r="R29" s="16"/>
      <c r="S29" s="16">
        <v>0</v>
      </c>
      <c r="T29" s="16"/>
      <c r="U29" s="16">
        <v>43843.74</v>
      </c>
      <c r="V29" s="16"/>
      <c r="W29" s="16">
        <v>0</v>
      </c>
      <c r="X29" s="16"/>
      <c r="Y29" s="16">
        <v>0</v>
      </c>
      <c r="Z29" s="16"/>
      <c r="AA29" s="16">
        <v>20561.11</v>
      </c>
      <c r="AB29" s="16"/>
      <c r="AC29" s="16">
        <v>0</v>
      </c>
      <c r="AD29" s="16"/>
      <c r="AE29" s="16">
        <v>6536.5</v>
      </c>
      <c r="AF29" s="16"/>
      <c r="AG29" s="16">
        <v>0</v>
      </c>
      <c r="AH29" s="16"/>
      <c r="AI29" s="16">
        <v>0</v>
      </c>
      <c r="AJ29" s="16"/>
      <c r="AK29" s="16">
        <f t="shared" si="13"/>
        <v>71025.820000000007</v>
      </c>
      <c r="AL29" s="16"/>
      <c r="AM29" s="16">
        <f t="shared" si="14"/>
        <v>466.39000000001397</v>
      </c>
      <c r="AN29" s="16"/>
      <c r="AO29" s="16">
        <v>24401.97</v>
      </c>
      <c r="AP29" s="16"/>
      <c r="AQ29" s="16">
        <f t="shared" si="11"/>
        <v>24868.360000000015</v>
      </c>
      <c r="AS29" s="20">
        <f t="shared" si="15"/>
        <v>0</v>
      </c>
      <c r="AT29" s="20"/>
      <c r="AU29" s="20">
        <f t="shared" si="16"/>
        <v>0</v>
      </c>
      <c r="AV29" s="20"/>
      <c r="AW29" s="20">
        <f t="shared" si="17"/>
        <v>0</v>
      </c>
      <c r="AX29" s="20"/>
      <c r="AY29" s="20">
        <f t="shared" si="18"/>
        <v>0</v>
      </c>
    </row>
    <row r="30" spans="1:51" s="4" customFormat="1" x14ac:dyDescent="0.2">
      <c r="A30" s="1" t="s">
        <v>255</v>
      </c>
      <c r="B30" s="1"/>
      <c r="C30" s="1" t="s">
        <v>253</v>
      </c>
      <c r="D30" s="1"/>
      <c r="E30" s="16">
        <v>98096.7</v>
      </c>
      <c r="F30" s="16"/>
      <c r="G30" s="16">
        <v>515.4</v>
      </c>
      <c r="H30" s="16"/>
      <c r="I30" s="16">
        <v>39146.870000000003</v>
      </c>
      <c r="J30" s="16"/>
      <c r="K30" s="16">
        <v>0</v>
      </c>
      <c r="L30" s="16"/>
      <c r="M30" s="16">
        <v>-58434.43</v>
      </c>
      <c r="N30" s="16"/>
      <c r="O30" s="16">
        <f t="shared" si="12"/>
        <v>-58434.43</v>
      </c>
      <c r="P30" s="16"/>
      <c r="Q30" s="16">
        <v>56479.55</v>
      </c>
      <c r="R30" s="16"/>
      <c r="S30" s="16">
        <v>0</v>
      </c>
      <c r="T30" s="16"/>
      <c r="U30" s="16">
        <v>9019.2199999999993</v>
      </c>
      <c r="V30" s="16"/>
      <c r="W30" s="16">
        <v>141.74</v>
      </c>
      <c r="X30" s="16"/>
      <c r="Y30" s="16">
        <v>0</v>
      </c>
      <c r="Z30" s="16"/>
      <c r="AA30" s="16">
        <v>14757.24</v>
      </c>
      <c r="AB30" s="16"/>
      <c r="AC30" s="16">
        <v>0</v>
      </c>
      <c r="AD30" s="16"/>
      <c r="AE30" s="16">
        <v>0</v>
      </c>
      <c r="AF30" s="16"/>
      <c r="AG30" s="16">
        <v>0</v>
      </c>
      <c r="AH30" s="16"/>
      <c r="AI30" s="16">
        <v>0</v>
      </c>
      <c r="AJ30" s="16"/>
      <c r="AK30" s="16">
        <f t="shared" si="13"/>
        <v>80397.750000000015</v>
      </c>
      <c r="AL30" s="16"/>
      <c r="AM30" s="16">
        <f t="shared" si="14"/>
        <v>21963.320000000014</v>
      </c>
      <c r="AN30" s="16"/>
      <c r="AO30" s="16">
        <v>46280.72</v>
      </c>
      <c r="AP30" s="16"/>
      <c r="AQ30" s="16">
        <f t="shared" si="11"/>
        <v>68244.040000000008</v>
      </c>
      <c r="AS30" s="20">
        <f t="shared" si="15"/>
        <v>0</v>
      </c>
      <c r="AT30" s="20"/>
      <c r="AU30" s="20">
        <f t="shared" si="16"/>
        <v>0</v>
      </c>
      <c r="AV30" s="20"/>
      <c r="AW30" s="20">
        <f t="shared" si="17"/>
        <v>0</v>
      </c>
      <c r="AX30" s="20"/>
      <c r="AY30" s="20">
        <f t="shared" si="18"/>
        <v>0</v>
      </c>
    </row>
    <row r="31" spans="1:51" s="4" customFormat="1" x14ac:dyDescent="0.2">
      <c r="A31" s="1" t="s">
        <v>721</v>
      </c>
      <c r="B31" s="1"/>
      <c r="C31" s="1" t="s">
        <v>433</v>
      </c>
      <c r="D31" s="1"/>
      <c r="E31" s="16">
        <v>108207.92</v>
      </c>
      <c r="F31" s="16"/>
      <c r="G31" s="16">
        <v>4979.24</v>
      </c>
      <c r="H31" s="16"/>
      <c r="I31" s="16">
        <v>27376.69</v>
      </c>
      <c r="J31" s="16"/>
      <c r="K31" s="16">
        <v>0</v>
      </c>
      <c r="L31" s="16"/>
      <c r="M31" s="16">
        <v>-75851.990000000005</v>
      </c>
      <c r="N31" s="16"/>
      <c r="O31" s="16">
        <f t="shared" si="12"/>
        <v>-75851.989999999991</v>
      </c>
      <c r="P31" s="16"/>
      <c r="Q31" s="16">
        <v>35588.42</v>
      </c>
      <c r="R31" s="16"/>
      <c r="S31" s="16">
        <v>0</v>
      </c>
      <c r="T31" s="16"/>
      <c r="U31" s="16">
        <v>16500.27</v>
      </c>
      <c r="V31" s="16"/>
      <c r="W31" s="16">
        <v>0</v>
      </c>
      <c r="X31" s="16"/>
      <c r="Y31" s="16">
        <v>0</v>
      </c>
      <c r="Z31" s="16"/>
      <c r="AA31" s="16">
        <v>2171.4499999999998</v>
      </c>
      <c r="AB31" s="16"/>
      <c r="AC31" s="16">
        <v>0</v>
      </c>
      <c r="AD31" s="16"/>
      <c r="AE31" s="16">
        <v>0</v>
      </c>
      <c r="AF31" s="16"/>
      <c r="AG31" s="16">
        <v>0</v>
      </c>
      <c r="AH31" s="16"/>
      <c r="AI31" s="16">
        <v>0</v>
      </c>
      <c r="AJ31" s="16"/>
      <c r="AK31" s="16">
        <f t="shared" si="13"/>
        <v>54260.14</v>
      </c>
      <c r="AL31" s="16"/>
      <c r="AM31" s="16">
        <f t="shared" si="14"/>
        <v>-21591.850000000006</v>
      </c>
      <c r="AN31" s="16"/>
      <c r="AO31" s="16">
        <v>142732.04999999999</v>
      </c>
      <c r="AP31" s="16"/>
      <c r="AQ31" s="16">
        <f t="shared" si="11"/>
        <v>121140.19999999998</v>
      </c>
      <c r="AS31" s="20">
        <f t="shared" ref="AS31:AS40" si="19">+M31-O31</f>
        <v>0</v>
      </c>
      <c r="AT31" s="20"/>
      <c r="AU31" s="20">
        <f t="shared" ref="AU31:AU40" si="20">+Q31+S31+U31+W31+Y31+AA31+AC31+AE31+AI31-AK31+AG31</f>
        <v>0</v>
      </c>
      <c r="AV31" s="20"/>
      <c r="AW31" s="20">
        <f t="shared" ref="AW31:AW40" si="21">+O31+AK31-AM31</f>
        <v>0</v>
      </c>
      <c r="AX31" s="20"/>
      <c r="AY31" s="20">
        <f t="shared" ref="AY31:AY40" si="22">+O31+AK31+AO31-AQ31</f>
        <v>0</v>
      </c>
    </row>
    <row r="32" spans="1:51" s="4" customFormat="1" x14ac:dyDescent="0.2">
      <c r="A32" s="1" t="s">
        <v>117</v>
      </c>
      <c r="B32" s="1"/>
      <c r="C32" s="1" t="s">
        <v>406</v>
      </c>
      <c r="D32" s="1"/>
      <c r="E32" s="16">
        <v>701919.4</v>
      </c>
      <c r="F32" s="16"/>
      <c r="G32" s="16">
        <v>361856.19</v>
      </c>
      <c r="H32" s="16"/>
      <c r="I32" s="16">
        <v>104327.76</v>
      </c>
      <c r="J32" s="16"/>
      <c r="K32" s="16">
        <v>0</v>
      </c>
      <c r="L32" s="16"/>
      <c r="M32" s="16">
        <v>-235735.45</v>
      </c>
      <c r="N32" s="16"/>
      <c r="O32" s="16">
        <f t="shared" si="12"/>
        <v>-235735.45</v>
      </c>
      <c r="P32" s="16"/>
      <c r="Q32" s="16">
        <v>39186.269999999997</v>
      </c>
      <c r="R32" s="16"/>
      <c r="S32" s="16">
        <v>242527.65</v>
      </c>
      <c r="T32" s="16"/>
      <c r="U32" s="16">
        <v>27985.98</v>
      </c>
      <c r="V32" s="16"/>
      <c r="W32" s="16">
        <v>0</v>
      </c>
      <c r="X32" s="16"/>
      <c r="Y32" s="16">
        <v>12356.9</v>
      </c>
      <c r="Z32" s="16"/>
      <c r="AA32" s="16">
        <v>21650.86</v>
      </c>
      <c r="AB32" s="16"/>
      <c r="AC32" s="16">
        <v>0</v>
      </c>
      <c r="AD32" s="16"/>
      <c r="AE32" s="16">
        <v>-20500</v>
      </c>
      <c r="AF32" s="16"/>
      <c r="AG32" s="16">
        <v>0</v>
      </c>
      <c r="AH32" s="16"/>
      <c r="AI32" s="16">
        <v>0</v>
      </c>
      <c r="AJ32" s="16"/>
      <c r="AK32" s="16">
        <f t="shared" si="13"/>
        <v>323207.65999999997</v>
      </c>
      <c r="AL32" s="16"/>
      <c r="AM32" s="16">
        <f t="shared" si="14"/>
        <v>87472.209999999963</v>
      </c>
      <c r="AN32" s="16"/>
      <c r="AO32" s="16">
        <v>137463.01999999999</v>
      </c>
      <c r="AP32" s="16"/>
      <c r="AQ32" s="16">
        <f t="shared" si="11"/>
        <v>224935.22999999995</v>
      </c>
      <c r="AS32" s="20">
        <f t="shared" si="19"/>
        <v>0</v>
      </c>
      <c r="AT32" s="20"/>
      <c r="AU32" s="20">
        <f t="shared" si="20"/>
        <v>0</v>
      </c>
      <c r="AV32" s="20"/>
      <c r="AW32" s="20">
        <f t="shared" si="21"/>
        <v>0</v>
      </c>
      <c r="AX32" s="20"/>
      <c r="AY32" s="20">
        <f t="shared" si="22"/>
        <v>0</v>
      </c>
    </row>
    <row r="33" spans="1:51" s="4" customFormat="1" x14ac:dyDescent="0.2">
      <c r="A33" s="1" t="s">
        <v>172</v>
      </c>
      <c r="B33" s="1"/>
      <c r="C33" s="1" t="s">
        <v>464</v>
      </c>
      <c r="D33" s="1"/>
      <c r="E33" s="16">
        <v>213556.25</v>
      </c>
      <c r="F33" s="16"/>
      <c r="G33" s="16">
        <v>165573.41</v>
      </c>
      <c r="H33" s="16"/>
      <c r="I33" s="16">
        <v>17276.21</v>
      </c>
      <c r="J33" s="16"/>
      <c r="K33" s="16">
        <v>0</v>
      </c>
      <c r="L33" s="16"/>
      <c r="M33" s="16">
        <v>-30706.63</v>
      </c>
      <c r="N33" s="16"/>
      <c r="O33" s="16">
        <f t="shared" si="12"/>
        <v>-30706.629999999997</v>
      </c>
      <c r="P33" s="16"/>
      <c r="Q33" s="16">
        <v>46882.53</v>
      </c>
      <c r="R33" s="16"/>
      <c r="S33" s="16">
        <v>0</v>
      </c>
      <c r="T33" s="16"/>
      <c r="U33" s="16">
        <v>11006.86</v>
      </c>
      <c r="V33" s="16"/>
      <c r="W33" s="16">
        <v>1070</v>
      </c>
      <c r="X33" s="16"/>
      <c r="Y33" s="16">
        <v>0</v>
      </c>
      <c r="Z33" s="16"/>
      <c r="AA33" s="16">
        <v>2234.58</v>
      </c>
      <c r="AB33" s="16"/>
      <c r="AC33" s="16">
        <v>0</v>
      </c>
      <c r="AD33" s="16"/>
      <c r="AE33" s="16">
        <v>0</v>
      </c>
      <c r="AF33" s="16"/>
      <c r="AG33" s="16">
        <v>0</v>
      </c>
      <c r="AH33" s="16"/>
      <c r="AI33" s="16">
        <v>1008.65</v>
      </c>
      <c r="AJ33" s="16"/>
      <c r="AK33" s="16">
        <f t="shared" si="13"/>
        <v>62202.62</v>
      </c>
      <c r="AL33" s="16"/>
      <c r="AM33" s="16">
        <f t="shared" si="14"/>
        <v>31495.99</v>
      </c>
      <c r="AN33" s="16"/>
      <c r="AO33" s="16">
        <v>279672</v>
      </c>
      <c r="AP33" s="16"/>
      <c r="AQ33" s="16">
        <f t="shared" si="11"/>
        <v>311167.99</v>
      </c>
      <c r="AS33" s="20">
        <f t="shared" si="19"/>
        <v>0</v>
      </c>
      <c r="AT33" s="20"/>
      <c r="AU33" s="20">
        <f t="shared" si="20"/>
        <v>0</v>
      </c>
      <c r="AV33" s="20"/>
      <c r="AW33" s="20">
        <f t="shared" si="21"/>
        <v>0</v>
      </c>
      <c r="AX33" s="20"/>
      <c r="AY33" s="20">
        <f t="shared" si="22"/>
        <v>0</v>
      </c>
    </row>
    <row r="34" spans="1:51" s="4" customFormat="1" x14ac:dyDescent="0.2">
      <c r="A34" s="4" t="s">
        <v>826</v>
      </c>
      <c r="C34" s="4" t="s">
        <v>289</v>
      </c>
      <c r="E34" s="16">
        <v>2099216</v>
      </c>
      <c r="F34" s="16"/>
      <c r="G34" s="16">
        <v>305783</v>
      </c>
      <c r="H34" s="16"/>
      <c r="I34" s="16">
        <v>237628</v>
      </c>
      <c r="J34" s="16"/>
      <c r="K34" s="16">
        <v>0</v>
      </c>
      <c r="L34" s="16"/>
      <c r="M34" s="16">
        <f>SUM(G34:K34)-E34</f>
        <v>-1555805</v>
      </c>
      <c r="N34" s="16"/>
      <c r="O34" s="16">
        <f t="shared" si="12"/>
        <v>-1555805</v>
      </c>
      <c r="P34" s="16"/>
      <c r="Q34" s="16">
        <f>136022+12346+12346</f>
        <v>160714</v>
      </c>
      <c r="R34" s="16"/>
      <c r="S34" s="16">
        <f>887295+106552+210534</f>
        <v>1204381</v>
      </c>
      <c r="T34" s="16"/>
      <c r="U34" s="16">
        <v>188035</v>
      </c>
      <c r="V34" s="16"/>
      <c r="W34" s="16">
        <v>10430</v>
      </c>
      <c r="X34" s="16"/>
      <c r="Y34" s="16">
        <v>0</v>
      </c>
      <c r="Z34" s="16"/>
      <c r="AA34" s="16">
        <v>82679</v>
      </c>
      <c r="AB34" s="16"/>
      <c r="AC34" s="16">
        <v>0</v>
      </c>
      <c r="AD34" s="16"/>
      <c r="AE34" s="16">
        <v>-5995</v>
      </c>
      <c r="AF34" s="16"/>
      <c r="AG34" s="16">
        <v>0</v>
      </c>
      <c r="AH34" s="16"/>
      <c r="AI34" s="16">
        <v>0</v>
      </c>
      <c r="AJ34" s="16"/>
      <c r="AK34" s="16">
        <f t="shared" si="13"/>
        <v>1640244</v>
      </c>
      <c r="AL34" s="16"/>
      <c r="AM34" s="16">
        <f t="shared" si="14"/>
        <v>84439</v>
      </c>
      <c r="AN34" s="16"/>
      <c r="AO34" s="16">
        <v>358056</v>
      </c>
      <c r="AP34" s="16"/>
      <c r="AQ34" s="16">
        <f t="shared" ref="AQ34:AQ39" si="23">+AM34+AO34</f>
        <v>442495</v>
      </c>
      <c r="AS34" s="20">
        <f t="shared" si="19"/>
        <v>0</v>
      </c>
      <c r="AT34" s="20"/>
      <c r="AU34" s="20">
        <f t="shared" si="20"/>
        <v>0</v>
      </c>
      <c r="AV34" s="20"/>
      <c r="AW34" s="20">
        <f t="shared" si="21"/>
        <v>0</v>
      </c>
      <c r="AX34" s="20"/>
      <c r="AY34" s="20">
        <f t="shared" si="22"/>
        <v>0</v>
      </c>
    </row>
    <row r="35" spans="1:51" s="4" customFormat="1" x14ac:dyDescent="0.2">
      <c r="A35" s="4" t="s">
        <v>463</v>
      </c>
      <c r="C35" s="4" t="s">
        <v>464</v>
      </c>
      <c r="E35" s="16">
        <v>1438817</v>
      </c>
      <c r="F35" s="16"/>
      <c r="G35" s="16">
        <v>565530</v>
      </c>
      <c r="H35" s="16"/>
      <c r="I35" s="16">
        <v>6800</v>
      </c>
      <c r="J35" s="16"/>
      <c r="K35" s="16">
        <v>0</v>
      </c>
      <c r="L35" s="16"/>
      <c r="M35" s="16">
        <f>SUM(G35:K35)-E35</f>
        <v>-866487</v>
      </c>
      <c r="N35" s="16"/>
      <c r="O35" s="16">
        <f t="shared" si="12"/>
        <v>-866487</v>
      </c>
      <c r="P35" s="16"/>
      <c r="Q35" s="16">
        <v>128937</v>
      </c>
      <c r="R35" s="16"/>
      <c r="S35" s="16">
        <v>481458</v>
      </c>
      <c r="T35" s="16"/>
      <c r="U35" s="16">
        <v>153969</v>
      </c>
      <c r="V35" s="16"/>
      <c r="W35" s="16">
        <v>3548</v>
      </c>
      <c r="X35" s="16"/>
      <c r="Y35" s="16">
        <v>0</v>
      </c>
      <c r="Z35" s="16"/>
      <c r="AA35" s="16">
        <f>3307+2201+480</f>
        <v>5988</v>
      </c>
      <c r="AB35" s="16"/>
      <c r="AC35" s="16">
        <v>0</v>
      </c>
      <c r="AD35" s="16"/>
      <c r="AE35" s="16">
        <v>225421</v>
      </c>
      <c r="AF35" s="16"/>
      <c r="AG35" s="16">
        <v>0</v>
      </c>
      <c r="AH35" s="16"/>
      <c r="AI35" s="16">
        <v>0</v>
      </c>
      <c r="AJ35" s="16"/>
      <c r="AK35" s="16">
        <f t="shared" si="13"/>
        <v>999321</v>
      </c>
      <c r="AL35" s="16"/>
      <c r="AM35" s="16">
        <f t="shared" si="14"/>
        <v>132834</v>
      </c>
      <c r="AN35" s="16"/>
      <c r="AO35" s="16">
        <v>727883</v>
      </c>
      <c r="AP35" s="16"/>
      <c r="AQ35" s="16">
        <f t="shared" si="23"/>
        <v>860717</v>
      </c>
      <c r="AS35" s="20">
        <f t="shared" si="19"/>
        <v>0</v>
      </c>
      <c r="AT35" s="20"/>
      <c r="AU35" s="20">
        <f t="shared" si="20"/>
        <v>0</v>
      </c>
      <c r="AV35" s="20"/>
      <c r="AW35" s="20">
        <f t="shared" si="21"/>
        <v>0</v>
      </c>
      <c r="AX35" s="20"/>
      <c r="AY35" s="20">
        <f t="shared" si="22"/>
        <v>0</v>
      </c>
    </row>
    <row r="36" spans="1:51" s="4" customFormat="1" x14ac:dyDescent="0.2">
      <c r="A36" s="1" t="s">
        <v>27</v>
      </c>
      <c r="B36" s="1"/>
      <c r="C36" s="1" t="s">
        <v>57</v>
      </c>
      <c r="D36" s="1"/>
      <c r="E36" s="16">
        <v>92710.18</v>
      </c>
      <c r="F36" s="16"/>
      <c r="G36" s="16">
        <v>1410</v>
      </c>
      <c r="H36" s="16"/>
      <c r="I36" s="16">
        <v>14974.47</v>
      </c>
      <c r="J36" s="16"/>
      <c r="K36" s="16">
        <v>0</v>
      </c>
      <c r="L36" s="16"/>
      <c r="M36" s="16">
        <v>-76325.710000000006</v>
      </c>
      <c r="N36" s="16"/>
      <c r="O36" s="16">
        <f t="shared" si="12"/>
        <v>-76325.709999999992</v>
      </c>
      <c r="P36" s="16"/>
      <c r="Q36" s="16">
        <v>33811.82</v>
      </c>
      <c r="R36" s="16"/>
      <c r="S36" s="16">
        <v>0</v>
      </c>
      <c r="T36" s="16"/>
      <c r="U36" s="16">
        <v>33375.449999999997</v>
      </c>
      <c r="V36" s="16"/>
      <c r="W36" s="16">
        <v>7.71</v>
      </c>
      <c r="X36" s="16"/>
      <c r="Y36" s="16">
        <v>1082.6099999999999</v>
      </c>
      <c r="Z36" s="16"/>
      <c r="AA36" s="16">
        <v>2854.45</v>
      </c>
      <c r="AB36" s="16"/>
      <c r="AC36" s="16">
        <v>0</v>
      </c>
      <c r="AD36" s="16"/>
      <c r="AE36" s="16">
        <v>0</v>
      </c>
      <c r="AF36" s="16"/>
      <c r="AG36" s="16">
        <v>0</v>
      </c>
      <c r="AH36" s="16"/>
      <c r="AI36" s="16">
        <v>0</v>
      </c>
      <c r="AJ36" s="16"/>
      <c r="AK36" s="16">
        <f t="shared" si="13"/>
        <v>71132.039999999994</v>
      </c>
      <c r="AL36" s="16"/>
      <c r="AM36" s="16">
        <f t="shared" si="14"/>
        <v>-5193.6700000000128</v>
      </c>
      <c r="AN36" s="16"/>
      <c r="AO36" s="16">
        <v>53053.29</v>
      </c>
      <c r="AP36" s="16"/>
      <c r="AQ36" s="16">
        <f t="shared" si="23"/>
        <v>47859.619999999988</v>
      </c>
      <c r="AS36" s="20">
        <f t="shared" si="19"/>
        <v>0</v>
      </c>
      <c r="AT36" s="20"/>
      <c r="AU36" s="20">
        <f t="shared" si="20"/>
        <v>0</v>
      </c>
      <c r="AV36" s="20"/>
      <c r="AW36" s="20">
        <f t="shared" si="21"/>
        <v>1.4551915228366852E-11</v>
      </c>
      <c r="AX36" s="20"/>
      <c r="AY36" s="20">
        <f t="shared" si="22"/>
        <v>0</v>
      </c>
    </row>
    <row r="37" spans="1:51" s="4" customFormat="1" x14ac:dyDescent="0.2">
      <c r="A37" s="1" t="s">
        <v>111</v>
      </c>
      <c r="B37" s="1"/>
      <c r="C37" s="1" t="s">
        <v>390</v>
      </c>
      <c r="D37" s="1"/>
      <c r="E37" s="16">
        <v>250246.79</v>
      </c>
      <c r="F37" s="16"/>
      <c r="G37" s="16">
        <v>7154.49</v>
      </c>
      <c r="H37" s="16"/>
      <c r="I37" s="16">
        <v>36265.49</v>
      </c>
      <c r="J37" s="16"/>
      <c r="K37" s="16">
        <v>0</v>
      </c>
      <c r="L37" s="16"/>
      <c r="M37" s="16">
        <v>-206826.81</v>
      </c>
      <c r="N37" s="16"/>
      <c r="O37" s="16">
        <f t="shared" si="12"/>
        <v>-206826.81000000003</v>
      </c>
      <c r="P37" s="16"/>
      <c r="Q37" s="16">
        <v>58484.800000000003</v>
      </c>
      <c r="R37" s="16"/>
      <c r="S37" s="16">
        <v>0</v>
      </c>
      <c r="T37" s="16"/>
      <c r="U37" s="16">
        <v>38574.559999999998</v>
      </c>
      <c r="V37" s="16"/>
      <c r="W37" s="16">
        <v>636.66</v>
      </c>
      <c r="X37" s="16"/>
      <c r="Y37" s="16">
        <v>7739.67</v>
      </c>
      <c r="Z37" s="16"/>
      <c r="AA37" s="16">
        <v>57883.9</v>
      </c>
      <c r="AB37" s="16"/>
      <c r="AC37" s="16">
        <v>0</v>
      </c>
      <c r="AD37" s="16"/>
      <c r="AE37" s="16">
        <v>-598.59</v>
      </c>
      <c r="AF37" s="16"/>
      <c r="AG37" s="16">
        <v>0</v>
      </c>
      <c r="AH37" s="16"/>
      <c r="AI37" s="16">
        <v>0</v>
      </c>
      <c r="AJ37" s="16"/>
      <c r="AK37" s="16">
        <f t="shared" si="13"/>
        <v>162721</v>
      </c>
      <c r="AL37" s="16"/>
      <c r="AM37" s="16">
        <f t="shared" si="14"/>
        <v>-44105.81</v>
      </c>
      <c r="AN37" s="16"/>
      <c r="AO37" s="16">
        <v>296344.84999999998</v>
      </c>
      <c r="AP37" s="16"/>
      <c r="AQ37" s="16">
        <f t="shared" si="23"/>
        <v>252239.03999999998</v>
      </c>
      <c r="AS37" s="20">
        <f t="shared" si="19"/>
        <v>0</v>
      </c>
      <c r="AT37" s="20"/>
      <c r="AU37" s="20">
        <f t="shared" si="20"/>
        <v>0</v>
      </c>
      <c r="AV37" s="20"/>
      <c r="AW37" s="20">
        <f t="shared" si="21"/>
        <v>0</v>
      </c>
      <c r="AX37" s="20"/>
      <c r="AY37" s="20">
        <f t="shared" si="22"/>
        <v>0</v>
      </c>
    </row>
    <row r="38" spans="1:51" s="4" customFormat="1" x14ac:dyDescent="0.2">
      <c r="A38" s="1" t="s">
        <v>699</v>
      </c>
      <c r="B38" s="1"/>
      <c r="C38" s="1" t="s">
        <v>274</v>
      </c>
      <c r="D38" s="1"/>
      <c r="E38" s="16">
        <v>63933.97</v>
      </c>
      <c r="F38" s="16"/>
      <c r="G38" s="16">
        <v>8042.51</v>
      </c>
      <c r="H38" s="16"/>
      <c r="I38" s="16">
        <v>8872.1299999999992</v>
      </c>
      <c r="J38" s="16"/>
      <c r="K38" s="16">
        <v>0</v>
      </c>
      <c r="L38" s="16"/>
      <c r="M38" s="16">
        <v>-47019.33</v>
      </c>
      <c r="N38" s="16"/>
      <c r="O38" s="16">
        <f t="shared" si="12"/>
        <v>-47019.33</v>
      </c>
      <c r="P38" s="16"/>
      <c r="Q38" s="16">
        <v>40188.519999999997</v>
      </c>
      <c r="R38" s="16"/>
      <c r="S38" s="16">
        <v>0</v>
      </c>
      <c r="T38" s="16"/>
      <c r="U38" s="16">
        <v>6709.99</v>
      </c>
      <c r="V38" s="16"/>
      <c r="W38" s="16">
        <v>0</v>
      </c>
      <c r="X38" s="16"/>
      <c r="Y38" s="16">
        <v>1163.81</v>
      </c>
      <c r="Z38" s="16"/>
      <c r="AA38" s="16">
        <v>2600</v>
      </c>
      <c r="AB38" s="16"/>
      <c r="AC38" s="16">
        <v>0</v>
      </c>
      <c r="AD38" s="16"/>
      <c r="AE38" s="16">
        <v>0</v>
      </c>
      <c r="AF38" s="16"/>
      <c r="AG38" s="16">
        <v>0</v>
      </c>
      <c r="AH38" s="16"/>
      <c r="AI38" s="16">
        <v>0</v>
      </c>
      <c r="AJ38" s="16"/>
      <c r="AK38" s="16">
        <f t="shared" si="13"/>
        <v>50662.319999999992</v>
      </c>
      <c r="AL38" s="16"/>
      <c r="AM38" s="16">
        <f t="shared" si="14"/>
        <v>3642.9899999999907</v>
      </c>
      <c r="AN38" s="16"/>
      <c r="AO38" s="16">
        <v>202930.21</v>
      </c>
      <c r="AP38" s="16"/>
      <c r="AQ38" s="16">
        <f t="shared" si="23"/>
        <v>206573.19999999998</v>
      </c>
      <c r="AR38" s="21"/>
      <c r="AS38" s="20">
        <f t="shared" si="19"/>
        <v>0</v>
      </c>
      <c r="AT38" s="21"/>
      <c r="AU38" s="20">
        <f t="shared" si="20"/>
        <v>0</v>
      </c>
      <c r="AV38" s="21"/>
      <c r="AW38" s="20">
        <f t="shared" si="21"/>
        <v>0</v>
      </c>
      <c r="AX38" s="21"/>
      <c r="AY38" s="20">
        <f t="shared" si="22"/>
        <v>0</v>
      </c>
    </row>
    <row r="39" spans="1:51" s="4" customFormat="1" x14ac:dyDescent="0.2">
      <c r="A39" s="1" t="s">
        <v>550</v>
      </c>
      <c r="B39" s="1"/>
      <c r="C39" s="1" t="s">
        <v>547</v>
      </c>
      <c r="D39" s="1"/>
      <c r="E39" s="16">
        <v>1521106.88</v>
      </c>
      <c r="F39" s="16"/>
      <c r="G39" s="16">
        <v>60491.48</v>
      </c>
      <c r="H39" s="16"/>
      <c r="I39" s="16">
        <v>209137.74</v>
      </c>
      <c r="J39" s="16"/>
      <c r="K39" s="16">
        <v>114.63</v>
      </c>
      <c r="L39" s="16"/>
      <c r="M39" s="16">
        <v>-1251363.03</v>
      </c>
      <c r="N39" s="16"/>
      <c r="O39" s="16">
        <f t="shared" si="12"/>
        <v>-1251363.03</v>
      </c>
      <c r="P39" s="16"/>
      <c r="Q39" s="16">
        <v>319849.59999999998</v>
      </c>
      <c r="R39" s="16"/>
      <c r="S39" s="16">
        <v>764216.31</v>
      </c>
      <c r="T39" s="16"/>
      <c r="U39" s="16">
        <v>61649.73</v>
      </c>
      <c r="V39" s="16"/>
      <c r="W39" s="16">
        <v>3586.37</v>
      </c>
      <c r="X39" s="16"/>
      <c r="Y39" s="16">
        <v>0</v>
      </c>
      <c r="Z39" s="16"/>
      <c r="AA39" s="16">
        <v>26285.83</v>
      </c>
      <c r="AB39" s="16"/>
      <c r="AC39" s="16">
        <v>0</v>
      </c>
      <c r="AD39" s="16"/>
      <c r="AE39" s="16">
        <v>8502</v>
      </c>
      <c r="AF39" s="16"/>
      <c r="AG39" s="16">
        <v>0</v>
      </c>
      <c r="AH39" s="16"/>
      <c r="AI39" s="16">
        <v>0</v>
      </c>
      <c r="AJ39" s="16"/>
      <c r="AK39" s="16">
        <f t="shared" si="13"/>
        <v>1184089.8400000003</v>
      </c>
      <c r="AL39" s="16"/>
      <c r="AM39" s="16">
        <f t="shared" si="14"/>
        <v>-67273.189999999711</v>
      </c>
      <c r="AN39" s="16"/>
      <c r="AO39" s="16">
        <v>1385743.34</v>
      </c>
      <c r="AP39" s="16"/>
      <c r="AQ39" s="16">
        <f t="shared" si="23"/>
        <v>1318470.1500000004</v>
      </c>
      <c r="AS39" s="20">
        <f t="shared" si="19"/>
        <v>0</v>
      </c>
      <c r="AT39" s="20"/>
      <c r="AU39" s="20">
        <f t="shared" si="20"/>
        <v>0</v>
      </c>
      <c r="AV39" s="20"/>
      <c r="AW39" s="20">
        <f t="shared" si="21"/>
        <v>0</v>
      </c>
      <c r="AX39" s="20"/>
      <c r="AY39" s="20">
        <f t="shared" si="22"/>
        <v>0</v>
      </c>
    </row>
    <row r="40" spans="1:51" s="4" customFormat="1" x14ac:dyDescent="0.2">
      <c r="A40" s="1" t="s">
        <v>160</v>
      </c>
      <c r="B40" s="1"/>
      <c r="C40" s="1" t="s">
        <v>450</v>
      </c>
      <c r="D40" s="1"/>
      <c r="E40" s="16">
        <v>698396.62</v>
      </c>
      <c r="F40" s="16"/>
      <c r="G40" s="16">
        <v>39621.269999999997</v>
      </c>
      <c r="H40" s="16"/>
      <c r="I40" s="16">
        <v>47468.639999999999</v>
      </c>
      <c r="J40" s="16"/>
      <c r="K40" s="16">
        <v>0</v>
      </c>
      <c r="L40" s="16"/>
      <c r="M40" s="16">
        <v>-611306.71</v>
      </c>
      <c r="N40" s="16"/>
      <c r="O40" s="16">
        <f t="shared" si="12"/>
        <v>-611306.71</v>
      </c>
      <c r="P40" s="16"/>
      <c r="Q40" s="16">
        <v>241368.3</v>
      </c>
      <c r="R40" s="16"/>
      <c r="S40" s="16">
        <v>24.64</v>
      </c>
      <c r="T40" s="16"/>
      <c r="U40" s="16">
        <v>42329.440000000002</v>
      </c>
      <c r="V40" s="16"/>
      <c r="W40" s="16">
        <v>1141.44</v>
      </c>
      <c r="X40" s="16"/>
      <c r="Y40" s="16">
        <v>0</v>
      </c>
      <c r="Z40" s="16"/>
      <c r="AA40" s="16">
        <v>24097.5</v>
      </c>
      <c r="AB40" s="16"/>
      <c r="AC40" s="16">
        <v>3250</v>
      </c>
      <c r="AD40" s="16"/>
      <c r="AE40" s="16">
        <v>268083.27</v>
      </c>
      <c r="AF40" s="16"/>
      <c r="AG40" s="16">
        <v>0</v>
      </c>
      <c r="AH40" s="16"/>
      <c r="AI40" s="16">
        <v>0</v>
      </c>
      <c r="AJ40" s="16"/>
      <c r="AK40" s="16">
        <f t="shared" si="13"/>
        <v>580294.59000000008</v>
      </c>
      <c r="AL40" s="16"/>
      <c r="AM40" s="16">
        <f t="shared" si="14"/>
        <v>-31012.119999999879</v>
      </c>
      <c r="AN40" s="16"/>
      <c r="AO40" s="16">
        <v>68793.990000000005</v>
      </c>
      <c r="AP40" s="16"/>
      <c r="AQ40" s="16">
        <f t="shared" ref="AQ40:AQ46" si="24">+AM40+AO40</f>
        <v>37781.870000000126</v>
      </c>
      <c r="AS40" s="20">
        <f t="shared" si="19"/>
        <v>0</v>
      </c>
      <c r="AT40" s="20"/>
      <c r="AU40" s="20">
        <f t="shared" si="20"/>
        <v>0</v>
      </c>
      <c r="AV40" s="20"/>
      <c r="AW40" s="20">
        <f t="shared" si="21"/>
        <v>0</v>
      </c>
      <c r="AX40" s="20"/>
      <c r="AY40" s="20">
        <f t="shared" si="22"/>
        <v>0</v>
      </c>
    </row>
    <row r="41" spans="1:51" s="4" customFormat="1" x14ac:dyDescent="0.2">
      <c r="A41" s="1" t="s">
        <v>188</v>
      </c>
      <c r="B41" s="1"/>
      <c r="C41" s="1" t="s">
        <v>476</v>
      </c>
      <c r="D41" s="1"/>
      <c r="E41" s="16">
        <v>43495.54</v>
      </c>
      <c r="F41" s="16"/>
      <c r="G41" s="16">
        <v>0</v>
      </c>
      <c r="H41" s="16"/>
      <c r="I41" s="16">
        <v>16552.009999999998</v>
      </c>
      <c r="J41" s="16"/>
      <c r="K41" s="16">
        <v>0</v>
      </c>
      <c r="L41" s="16"/>
      <c r="M41" s="16">
        <v>-26943.53</v>
      </c>
      <c r="N41" s="16"/>
      <c r="O41" s="16">
        <f t="shared" si="12"/>
        <v>-26943.530000000002</v>
      </c>
      <c r="P41" s="16"/>
      <c r="Q41" s="16">
        <v>8166.91</v>
      </c>
      <c r="R41" s="16"/>
      <c r="S41" s="16">
        <v>0</v>
      </c>
      <c r="T41" s="16"/>
      <c r="U41" s="16">
        <v>21315.24</v>
      </c>
      <c r="V41" s="16"/>
      <c r="W41" s="16">
        <v>0</v>
      </c>
      <c r="X41" s="16"/>
      <c r="Y41" s="16">
        <v>0</v>
      </c>
      <c r="Z41" s="16"/>
      <c r="AA41" s="16">
        <v>5271.89</v>
      </c>
      <c r="AB41" s="16"/>
      <c r="AC41" s="16">
        <v>0</v>
      </c>
      <c r="AD41" s="16"/>
      <c r="AE41" s="16">
        <v>0</v>
      </c>
      <c r="AF41" s="16"/>
      <c r="AG41" s="16">
        <v>0</v>
      </c>
      <c r="AH41" s="16"/>
      <c r="AI41" s="16">
        <v>0</v>
      </c>
      <c r="AJ41" s="16"/>
      <c r="AK41" s="16">
        <f t="shared" si="13"/>
        <v>34754.04</v>
      </c>
      <c r="AL41" s="16"/>
      <c r="AM41" s="16">
        <f t="shared" si="14"/>
        <v>7810.510000000002</v>
      </c>
      <c r="AN41" s="16"/>
      <c r="AO41" s="16">
        <v>137200.99</v>
      </c>
      <c r="AP41" s="16"/>
      <c r="AQ41" s="16">
        <f t="shared" si="24"/>
        <v>145011.5</v>
      </c>
      <c r="AS41" s="20">
        <f t="shared" ref="AS41:AS46" si="25">+M41-O41</f>
        <v>0</v>
      </c>
      <c r="AT41" s="20"/>
      <c r="AU41" s="20">
        <f t="shared" ref="AU41:AU46" si="26">+Q41+S41+U41+W41+Y41+AA41+AC41+AE41+AI41-AK41+AG41</f>
        <v>0</v>
      </c>
      <c r="AV41" s="20"/>
      <c r="AW41" s="20">
        <f t="shared" ref="AW41:AW46" si="27">+O41+AK41-AM41</f>
        <v>0</v>
      </c>
      <c r="AX41" s="20"/>
      <c r="AY41" s="20">
        <f t="shared" ref="AY41:AY46" si="28">+O41+AK41+AO41-AQ41</f>
        <v>0</v>
      </c>
    </row>
    <row r="42" spans="1:51" s="4" customFormat="1" x14ac:dyDescent="0.2">
      <c r="A42" s="4" t="s">
        <v>818</v>
      </c>
      <c r="C42" s="4" t="s">
        <v>283</v>
      </c>
      <c r="E42" s="16">
        <v>2741204</v>
      </c>
      <c r="F42" s="16"/>
      <c r="G42" s="16">
        <v>382882</v>
      </c>
      <c r="H42" s="16"/>
      <c r="I42" s="16">
        <v>602556</v>
      </c>
      <c r="J42" s="16"/>
      <c r="K42" s="16">
        <v>215975</v>
      </c>
      <c r="L42" s="16"/>
      <c r="M42" s="16">
        <f>SUM(G42:K42)-E42</f>
        <v>-1539791</v>
      </c>
      <c r="N42" s="16"/>
      <c r="O42" s="16">
        <f t="shared" si="12"/>
        <v>-1539791</v>
      </c>
      <c r="P42" s="16"/>
      <c r="Q42" s="16">
        <f>110895+562962+373</f>
        <v>674230</v>
      </c>
      <c r="R42" s="16"/>
      <c r="S42" s="16">
        <v>1010121</v>
      </c>
      <c r="T42" s="16"/>
      <c r="U42" s="16">
        <v>172826</v>
      </c>
      <c r="V42" s="16"/>
      <c r="W42" s="16">
        <v>2398</v>
      </c>
      <c r="X42" s="16"/>
      <c r="Y42" s="16">
        <v>0</v>
      </c>
      <c r="Z42" s="16"/>
      <c r="AA42" s="16">
        <v>73447</v>
      </c>
      <c r="AB42" s="16"/>
      <c r="AC42" s="16">
        <v>0</v>
      </c>
      <c r="AD42" s="16"/>
      <c r="AE42" s="16">
        <v>0</v>
      </c>
      <c r="AF42" s="16"/>
      <c r="AG42" s="16">
        <v>0</v>
      </c>
      <c r="AH42" s="16"/>
      <c r="AI42" s="16">
        <v>0</v>
      </c>
      <c r="AJ42" s="16"/>
      <c r="AK42" s="16">
        <f t="shared" si="13"/>
        <v>1933022</v>
      </c>
      <c r="AL42" s="16"/>
      <c r="AM42" s="16">
        <f t="shared" si="14"/>
        <v>393231</v>
      </c>
      <c r="AN42" s="16"/>
      <c r="AO42" s="16">
        <v>6050697</v>
      </c>
      <c r="AP42" s="16"/>
      <c r="AQ42" s="16">
        <f t="shared" si="24"/>
        <v>6443928</v>
      </c>
      <c r="AS42" s="20">
        <f t="shared" si="25"/>
        <v>0</v>
      </c>
      <c r="AT42" s="20"/>
      <c r="AU42" s="20">
        <f t="shared" si="26"/>
        <v>0</v>
      </c>
      <c r="AV42" s="20"/>
      <c r="AW42" s="20">
        <f t="shared" si="27"/>
        <v>0</v>
      </c>
      <c r="AX42" s="20"/>
      <c r="AY42" s="20">
        <f t="shared" si="28"/>
        <v>0</v>
      </c>
    </row>
    <row r="43" spans="1:51" s="4" customFormat="1" x14ac:dyDescent="0.2">
      <c r="A43" s="1" t="s">
        <v>158</v>
      </c>
      <c r="B43" s="1"/>
      <c r="C43" s="1" t="s">
        <v>226</v>
      </c>
      <c r="D43" s="1"/>
      <c r="E43" s="16">
        <v>150311.22</v>
      </c>
      <c r="F43" s="16"/>
      <c r="G43" s="16">
        <v>19639.8</v>
      </c>
      <c r="H43" s="16"/>
      <c r="I43" s="16">
        <v>25473.34</v>
      </c>
      <c r="J43" s="16"/>
      <c r="K43" s="16">
        <v>0</v>
      </c>
      <c r="L43" s="16"/>
      <c r="M43" s="16">
        <v>-105198.08</v>
      </c>
      <c r="N43" s="16"/>
      <c r="O43" s="16">
        <f t="shared" si="12"/>
        <v>-105198.08</v>
      </c>
      <c r="P43" s="16"/>
      <c r="Q43" s="16">
        <v>55647.92</v>
      </c>
      <c r="R43" s="16"/>
      <c r="S43" s="16">
        <v>22208.77</v>
      </c>
      <c r="T43" s="16"/>
      <c r="U43" s="16">
        <v>13248.65</v>
      </c>
      <c r="V43" s="16"/>
      <c r="W43" s="16">
        <v>48.47</v>
      </c>
      <c r="X43" s="16"/>
      <c r="Y43" s="16">
        <v>0</v>
      </c>
      <c r="Z43" s="16"/>
      <c r="AA43" s="16">
        <v>3053.51</v>
      </c>
      <c r="AB43" s="16"/>
      <c r="AC43" s="16">
        <v>0</v>
      </c>
      <c r="AD43" s="16"/>
      <c r="AE43" s="16">
        <v>0</v>
      </c>
      <c r="AF43" s="16"/>
      <c r="AG43" s="16">
        <v>0</v>
      </c>
      <c r="AH43" s="16"/>
      <c r="AI43" s="16">
        <v>0</v>
      </c>
      <c r="AJ43" s="16"/>
      <c r="AK43" s="16">
        <f t="shared" si="13"/>
        <v>94207.319999999992</v>
      </c>
      <c r="AL43" s="16"/>
      <c r="AM43" s="16">
        <f t="shared" si="14"/>
        <v>-10990.760000000009</v>
      </c>
      <c r="AN43" s="16"/>
      <c r="AO43" s="16">
        <v>73610.210000000006</v>
      </c>
      <c r="AP43" s="16"/>
      <c r="AQ43" s="16">
        <f t="shared" si="24"/>
        <v>62619.45</v>
      </c>
      <c r="AS43" s="20">
        <f t="shared" si="25"/>
        <v>0</v>
      </c>
      <c r="AT43" s="20"/>
      <c r="AU43" s="20">
        <f t="shared" si="26"/>
        <v>0</v>
      </c>
      <c r="AV43" s="20"/>
      <c r="AW43" s="20">
        <f t="shared" si="27"/>
        <v>0</v>
      </c>
      <c r="AX43" s="20"/>
      <c r="AY43" s="20">
        <f t="shared" si="28"/>
        <v>0</v>
      </c>
    </row>
    <row r="44" spans="1:51" s="4" customFormat="1" x14ac:dyDescent="0.2">
      <c r="A44" s="1" t="s">
        <v>87</v>
      </c>
      <c r="B44" s="1"/>
      <c r="C44" s="1" t="s">
        <v>351</v>
      </c>
      <c r="D44" s="1"/>
      <c r="E44" s="16">
        <v>1681969.38</v>
      </c>
      <c r="F44" s="16"/>
      <c r="G44" s="16">
        <v>701839.28</v>
      </c>
      <c r="H44" s="16"/>
      <c r="I44" s="16">
        <v>84855.87</v>
      </c>
      <c r="J44" s="16"/>
      <c r="K44" s="16">
        <v>0</v>
      </c>
      <c r="L44" s="16"/>
      <c r="M44" s="16">
        <v>-895274.23</v>
      </c>
      <c r="N44" s="16"/>
      <c r="O44" s="16">
        <f t="shared" si="12"/>
        <v>-895274.22999999986</v>
      </c>
      <c r="P44" s="16"/>
      <c r="Q44" s="16">
        <v>330279.71999999997</v>
      </c>
      <c r="R44" s="16"/>
      <c r="S44" s="16">
        <v>267136.78999999998</v>
      </c>
      <c r="T44" s="16"/>
      <c r="U44" s="16">
        <v>5248.8</v>
      </c>
      <c r="V44" s="16"/>
      <c r="W44" s="16">
        <v>477.63</v>
      </c>
      <c r="X44" s="16"/>
      <c r="Y44" s="16">
        <v>14443.67</v>
      </c>
      <c r="Z44" s="16"/>
      <c r="AA44" s="16">
        <v>282187.84999999998</v>
      </c>
      <c r="AB44" s="16"/>
      <c r="AC44" s="16">
        <v>0</v>
      </c>
      <c r="AD44" s="16"/>
      <c r="AE44" s="16">
        <v>0</v>
      </c>
      <c r="AF44" s="16"/>
      <c r="AG44" s="16">
        <v>0</v>
      </c>
      <c r="AH44" s="16"/>
      <c r="AI44" s="16">
        <v>0</v>
      </c>
      <c r="AJ44" s="16"/>
      <c r="AK44" s="16">
        <f t="shared" si="13"/>
        <v>899774.46000000008</v>
      </c>
      <c r="AL44" s="16"/>
      <c r="AM44" s="16">
        <f t="shared" si="14"/>
        <v>4500.2300000000978</v>
      </c>
      <c r="AN44" s="16"/>
      <c r="AO44" s="16">
        <v>1074431.52</v>
      </c>
      <c r="AP44" s="16"/>
      <c r="AQ44" s="16">
        <f t="shared" si="24"/>
        <v>1078931.75</v>
      </c>
      <c r="AS44" s="20">
        <f t="shared" si="25"/>
        <v>0</v>
      </c>
      <c r="AT44" s="20"/>
      <c r="AU44" s="20">
        <f t="shared" si="26"/>
        <v>0</v>
      </c>
      <c r="AV44" s="20"/>
      <c r="AW44" s="20">
        <f t="shared" si="27"/>
        <v>1.1641532182693481E-10</v>
      </c>
      <c r="AX44" s="20"/>
      <c r="AY44" s="20">
        <f t="shared" si="28"/>
        <v>0</v>
      </c>
    </row>
    <row r="45" spans="1:51" s="4" customFormat="1" x14ac:dyDescent="0.2">
      <c r="A45" s="4" t="s">
        <v>787</v>
      </c>
      <c r="C45" s="4" t="s">
        <v>351</v>
      </c>
      <c r="E45" s="16">
        <v>19028439</v>
      </c>
      <c r="F45" s="16"/>
      <c r="G45" s="16">
        <v>667342</v>
      </c>
      <c r="H45" s="16"/>
      <c r="I45" s="16">
        <v>522387</v>
      </c>
      <c r="J45" s="16"/>
      <c r="K45" s="16">
        <v>827980</v>
      </c>
      <c r="L45" s="16"/>
      <c r="M45" s="16">
        <f>SUM(G45:K45)-E45</f>
        <v>-17010730</v>
      </c>
      <c r="N45" s="16"/>
      <c r="O45" s="16">
        <f t="shared" si="12"/>
        <v>-17010730</v>
      </c>
      <c r="P45" s="16"/>
      <c r="Q45" s="16">
        <v>412178</v>
      </c>
      <c r="R45" s="16"/>
      <c r="S45" s="16">
        <v>13168803</v>
      </c>
      <c r="T45" s="16"/>
      <c r="U45" s="16">
        <v>190028</v>
      </c>
      <c r="V45" s="16"/>
      <c r="W45" s="16">
        <v>0</v>
      </c>
      <c r="X45" s="16"/>
      <c r="Y45" s="16">
        <v>0</v>
      </c>
      <c r="Z45" s="16"/>
      <c r="AA45" s="16">
        <f>21140+37590+88266-1</f>
        <v>146995</v>
      </c>
      <c r="AB45" s="16"/>
      <c r="AC45" s="16">
        <v>4305000</v>
      </c>
      <c r="AD45" s="16"/>
      <c r="AE45" s="16">
        <v>0</v>
      </c>
      <c r="AF45" s="16"/>
      <c r="AG45" s="16">
        <v>0</v>
      </c>
      <c r="AH45" s="16"/>
      <c r="AI45" s="16">
        <v>0</v>
      </c>
      <c r="AJ45" s="16"/>
      <c r="AK45" s="16">
        <f t="shared" si="13"/>
        <v>18223004</v>
      </c>
      <c r="AL45" s="16"/>
      <c r="AM45" s="16">
        <f t="shared" si="14"/>
        <v>1212274</v>
      </c>
      <c r="AN45" s="16"/>
      <c r="AO45" s="16">
        <v>17869642</v>
      </c>
      <c r="AP45" s="16"/>
      <c r="AQ45" s="16">
        <f t="shared" si="24"/>
        <v>19081916</v>
      </c>
      <c r="AS45" s="20">
        <f t="shared" si="25"/>
        <v>0</v>
      </c>
      <c r="AT45" s="20"/>
      <c r="AU45" s="20">
        <f t="shared" si="26"/>
        <v>0</v>
      </c>
      <c r="AV45" s="20"/>
      <c r="AW45" s="20">
        <f t="shared" si="27"/>
        <v>0</v>
      </c>
      <c r="AX45" s="20"/>
      <c r="AY45" s="20">
        <f t="shared" si="28"/>
        <v>0</v>
      </c>
    </row>
    <row r="46" spans="1:51" s="4" customFormat="1" x14ac:dyDescent="0.2">
      <c r="A46" s="1" t="s">
        <v>100</v>
      </c>
      <c r="B46" s="1"/>
      <c r="C46" s="1" t="s">
        <v>377</v>
      </c>
      <c r="D46" s="1"/>
      <c r="E46" s="16">
        <v>39983.4</v>
      </c>
      <c r="F46" s="16"/>
      <c r="G46" s="16">
        <v>0</v>
      </c>
      <c r="H46" s="16"/>
      <c r="I46" s="16">
        <v>8725.2900000000009</v>
      </c>
      <c r="J46" s="16"/>
      <c r="K46" s="16">
        <v>0</v>
      </c>
      <c r="L46" s="16"/>
      <c r="M46" s="16">
        <v>-31258.11</v>
      </c>
      <c r="N46" s="16"/>
      <c r="O46" s="16">
        <f t="shared" si="12"/>
        <v>-31258.11</v>
      </c>
      <c r="P46" s="16"/>
      <c r="Q46" s="16">
        <v>31253.79</v>
      </c>
      <c r="R46" s="16"/>
      <c r="S46" s="16">
        <v>0</v>
      </c>
      <c r="T46" s="16"/>
      <c r="U46" s="16">
        <v>8251.93</v>
      </c>
      <c r="V46" s="16"/>
      <c r="W46" s="16">
        <v>228.29</v>
      </c>
      <c r="X46" s="16"/>
      <c r="Y46" s="16">
        <v>0</v>
      </c>
      <c r="Z46" s="16"/>
      <c r="AA46" s="16">
        <v>9601.14</v>
      </c>
      <c r="AB46" s="16"/>
      <c r="AC46" s="16">
        <v>0</v>
      </c>
      <c r="AD46" s="16"/>
      <c r="AE46" s="16">
        <v>0</v>
      </c>
      <c r="AF46" s="16"/>
      <c r="AG46" s="16">
        <v>0</v>
      </c>
      <c r="AH46" s="16"/>
      <c r="AI46" s="16">
        <v>0</v>
      </c>
      <c r="AJ46" s="16"/>
      <c r="AK46" s="16">
        <f t="shared" si="13"/>
        <v>49335.15</v>
      </c>
      <c r="AL46" s="16"/>
      <c r="AM46" s="16">
        <f t="shared" si="14"/>
        <v>18077.04</v>
      </c>
      <c r="AN46" s="16"/>
      <c r="AO46" s="16">
        <v>81587.850000000006</v>
      </c>
      <c r="AP46" s="16"/>
      <c r="AQ46" s="16">
        <f t="shared" si="24"/>
        <v>99664.890000000014</v>
      </c>
      <c r="AS46" s="20">
        <f t="shared" si="25"/>
        <v>0</v>
      </c>
      <c r="AT46" s="20"/>
      <c r="AU46" s="20">
        <f t="shared" si="26"/>
        <v>0</v>
      </c>
      <c r="AV46" s="20"/>
      <c r="AW46" s="20">
        <f t="shared" si="27"/>
        <v>0</v>
      </c>
      <c r="AX46" s="20"/>
      <c r="AY46" s="20">
        <f t="shared" si="28"/>
        <v>0</v>
      </c>
    </row>
    <row r="47" spans="1:51" x14ac:dyDescent="0.2">
      <c r="A47" s="1" t="s">
        <v>207</v>
      </c>
      <c r="C47" s="1" t="s">
        <v>498</v>
      </c>
      <c r="E47" s="16">
        <v>1062344.73</v>
      </c>
      <c r="F47" s="16"/>
      <c r="G47" s="16">
        <v>1755</v>
      </c>
      <c r="H47" s="16"/>
      <c r="I47" s="16">
        <v>1202.1300000000001</v>
      </c>
      <c r="J47" s="16"/>
      <c r="K47" s="16">
        <v>0</v>
      </c>
      <c r="L47" s="16"/>
      <c r="M47" s="16">
        <v>-1059387.6000000001</v>
      </c>
      <c r="N47" s="16"/>
      <c r="O47" s="16">
        <f t="shared" si="12"/>
        <v>-1059387.6000000001</v>
      </c>
      <c r="P47" s="16"/>
      <c r="Q47" s="16">
        <v>218570.03</v>
      </c>
      <c r="R47" s="16"/>
      <c r="S47" s="16">
        <v>1242278.29</v>
      </c>
      <c r="T47" s="16"/>
      <c r="U47" s="16">
        <v>94907.74</v>
      </c>
      <c r="V47" s="16"/>
      <c r="W47" s="16">
        <v>0</v>
      </c>
      <c r="X47" s="16"/>
      <c r="Y47" s="16">
        <v>0</v>
      </c>
      <c r="Z47" s="16"/>
      <c r="AA47" s="16">
        <v>98446.88</v>
      </c>
      <c r="AB47" s="16"/>
      <c r="AC47" s="16">
        <v>0</v>
      </c>
      <c r="AD47" s="16"/>
      <c r="AE47" s="16">
        <v>0</v>
      </c>
      <c r="AF47" s="16"/>
      <c r="AG47" s="16">
        <v>0</v>
      </c>
      <c r="AH47" s="16"/>
      <c r="AI47" s="16">
        <v>0</v>
      </c>
      <c r="AJ47" s="16"/>
      <c r="AK47" s="16">
        <f t="shared" si="13"/>
        <v>1654202.94</v>
      </c>
      <c r="AL47" s="16"/>
      <c r="AM47" s="16">
        <f t="shared" si="14"/>
        <v>594815.33999999985</v>
      </c>
      <c r="AN47" s="16"/>
      <c r="AO47" s="16">
        <v>1097266.06</v>
      </c>
      <c r="AP47" s="16"/>
      <c r="AQ47" s="16">
        <f t="shared" ref="AQ47:AQ113" si="29">+AM47+AO47</f>
        <v>1692081.4</v>
      </c>
      <c r="AR47" s="4"/>
      <c r="AS47" s="20">
        <f t="shared" ref="AS47:AS113" si="30">+M47-O47</f>
        <v>0</v>
      </c>
      <c r="AT47" s="20"/>
      <c r="AU47" s="20">
        <f t="shared" ref="AU47:AU113" si="31">+Q47+S47+U47+W47+Y47+AA47+AC47+AE47+AI47-AK47+AG47</f>
        <v>0</v>
      </c>
      <c r="AV47" s="20"/>
      <c r="AW47" s="20">
        <f t="shared" ref="AW47:AW113" si="32">+O47+AK47-AM47</f>
        <v>0</v>
      </c>
      <c r="AX47" s="20"/>
      <c r="AY47" s="20">
        <f t="shared" ref="AY47:AY113" si="33">+O47+AK47+AO47-AQ47</f>
        <v>0</v>
      </c>
    </row>
    <row r="48" spans="1:51" x14ac:dyDescent="0.2">
      <c r="A48" s="4" t="s">
        <v>337</v>
      </c>
      <c r="B48" s="4"/>
      <c r="C48" s="4" t="s">
        <v>687</v>
      </c>
      <c r="D48" s="4"/>
      <c r="E48" s="16">
        <v>6462857</v>
      </c>
      <c r="F48" s="16"/>
      <c r="G48" s="16">
        <v>1732805</v>
      </c>
      <c r="H48" s="16"/>
      <c r="I48" s="16">
        <v>314295</v>
      </c>
      <c r="J48" s="16"/>
      <c r="K48" s="16">
        <v>0</v>
      </c>
      <c r="L48" s="16"/>
      <c r="M48" s="16">
        <f>SUM(G48:K48)-E48</f>
        <v>-4415757</v>
      </c>
      <c r="N48" s="16"/>
      <c r="O48" s="16">
        <f t="shared" si="12"/>
        <v>-4415757</v>
      </c>
      <c r="P48" s="16"/>
      <c r="Q48" s="16">
        <f>227357+116340+99183</f>
        <v>442880</v>
      </c>
      <c r="R48" s="16"/>
      <c r="S48" s="16">
        <v>1660582</v>
      </c>
      <c r="T48" s="16"/>
      <c r="U48" s="16">
        <v>1112997</v>
      </c>
      <c r="V48" s="16"/>
      <c r="W48" s="16">
        <v>37732</v>
      </c>
      <c r="X48" s="16"/>
      <c r="Y48" s="16">
        <v>52758</v>
      </c>
      <c r="Z48" s="16"/>
      <c r="AA48" s="16">
        <f>1950+56607</f>
        <v>58557</v>
      </c>
      <c r="AB48" s="16"/>
      <c r="AC48" s="16">
        <v>353175</v>
      </c>
      <c r="AD48" s="16"/>
      <c r="AE48" s="16">
        <f>50000-99893</f>
        <v>-49893</v>
      </c>
      <c r="AF48" s="16"/>
      <c r="AG48" s="16">
        <v>0</v>
      </c>
      <c r="AH48" s="16"/>
      <c r="AI48" s="16">
        <v>0</v>
      </c>
      <c r="AJ48" s="16"/>
      <c r="AK48" s="16">
        <f t="shared" si="13"/>
        <v>3668788</v>
      </c>
      <c r="AL48" s="16"/>
      <c r="AM48" s="16">
        <f t="shared" si="14"/>
        <v>-746969</v>
      </c>
      <c r="AN48" s="16"/>
      <c r="AO48" s="16">
        <v>2170092</v>
      </c>
      <c r="AP48" s="16"/>
      <c r="AQ48" s="16">
        <f t="shared" si="29"/>
        <v>1423123</v>
      </c>
      <c r="AR48" s="4"/>
      <c r="AS48" s="20">
        <f t="shared" si="30"/>
        <v>0</v>
      </c>
      <c r="AT48" s="20"/>
      <c r="AU48" s="20">
        <f t="shared" si="31"/>
        <v>0</v>
      </c>
      <c r="AV48" s="20"/>
      <c r="AW48" s="20">
        <f t="shared" si="32"/>
        <v>0</v>
      </c>
      <c r="AX48" s="20"/>
      <c r="AY48" s="20">
        <f t="shared" si="33"/>
        <v>0</v>
      </c>
    </row>
    <row r="49" spans="1:51" x14ac:dyDescent="0.2">
      <c r="A49" s="4" t="s">
        <v>297</v>
      </c>
      <c r="B49" s="4"/>
      <c r="C49" s="4" t="s">
        <v>293</v>
      </c>
      <c r="D49" s="4"/>
      <c r="E49" s="16">
        <v>4897036</v>
      </c>
      <c r="F49" s="16"/>
      <c r="G49" s="16">
        <v>576084</v>
      </c>
      <c r="H49" s="16"/>
      <c r="I49" s="16">
        <v>57562</v>
      </c>
      <c r="J49" s="16"/>
      <c r="K49" s="16">
        <v>21000</v>
      </c>
      <c r="L49" s="16"/>
      <c r="M49" s="16">
        <f>SUM(G49:K49)-E49</f>
        <v>-4242390</v>
      </c>
      <c r="N49" s="16"/>
      <c r="O49" s="16">
        <f t="shared" si="12"/>
        <v>-4242390</v>
      </c>
      <c r="P49" s="16"/>
      <c r="Q49" s="16">
        <f>2044097+52334+174445+396281</f>
        <v>2667157</v>
      </c>
      <c r="R49" s="16"/>
      <c r="S49" s="16">
        <v>1551855</v>
      </c>
      <c r="T49" s="16"/>
      <c r="U49" s="16">
        <v>523970</v>
      </c>
      <c r="V49" s="16"/>
      <c r="W49" s="16">
        <v>5915</v>
      </c>
      <c r="X49" s="16"/>
      <c r="Y49" s="16">
        <v>0</v>
      </c>
      <c r="Z49" s="16"/>
      <c r="AA49" s="16">
        <v>300</v>
      </c>
      <c r="AB49" s="16"/>
      <c r="AC49" s="16">
        <v>0</v>
      </c>
      <c r="AD49" s="16"/>
      <c r="AE49" s="16">
        <v>-163000</v>
      </c>
      <c r="AF49" s="16"/>
      <c r="AG49" s="16">
        <v>0</v>
      </c>
      <c r="AH49" s="16"/>
      <c r="AI49" s="16">
        <v>0</v>
      </c>
      <c r="AJ49" s="16"/>
      <c r="AK49" s="16">
        <f t="shared" si="13"/>
        <v>4586197</v>
      </c>
      <c r="AL49" s="16"/>
      <c r="AM49" s="16">
        <f t="shared" si="14"/>
        <v>343807</v>
      </c>
      <c r="AN49" s="16"/>
      <c r="AO49" s="16">
        <v>4395375</v>
      </c>
      <c r="AP49" s="16"/>
      <c r="AQ49" s="16">
        <f t="shared" si="29"/>
        <v>4739182</v>
      </c>
      <c r="AR49" s="4"/>
      <c r="AS49" s="20">
        <f t="shared" si="30"/>
        <v>0</v>
      </c>
      <c r="AT49" s="20"/>
      <c r="AU49" s="20">
        <f t="shared" si="31"/>
        <v>0</v>
      </c>
      <c r="AV49" s="20"/>
      <c r="AW49" s="20">
        <f t="shared" si="32"/>
        <v>0</v>
      </c>
      <c r="AX49" s="20"/>
      <c r="AY49" s="20">
        <f t="shared" si="33"/>
        <v>0</v>
      </c>
    </row>
    <row r="50" spans="1:51" x14ac:dyDescent="0.2">
      <c r="A50" s="4" t="s">
        <v>457</v>
      </c>
      <c r="B50" s="4"/>
      <c r="C50" s="4" t="s">
        <v>692</v>
      </c>
      <c r="D50" s="4"/>
      <c r="E50" s="16">
        <v>2117043</v>
      </c>
      <c r="F50" s="16"/>
      <c r="G50" s="16">
        <v>14906</v>
      </c>
      <c r="H50" s="16"/>
      <c r="I50" s="16">
        <v>189642</v>
      </c>
      <c r="J50" s="16"/>
      <c r="K50" s="16">
        <v>0</v>
      </c>
      <c r="L50" s="16"/>
      <c r="M50" s="16">
        <f>SUM(G50:K50)-E50</f>
        <v>-1912495</v>
      </c>
      <c r="N50" s="16"/>
      <c r="O50" s="16">
        <f t="shared" si="12"/>
        <v>-1912495</v>
      </c>
      <c r="P50" s="16"/>
      <c r="Q50" s="16">
        <f>67452+58323</f>
        <v>125775</v>
      </c>
      <c r="R50" s="16"/>
      <c r="S50" s="16">
        <v>753776</v>
      </c>
      <c r="T50" s="16"/>
      <c r="U50" s="16">
        <v>46959</v>
      </c>
      <c r="V50" s="16"/>
      <c r="W50" s="16">
        <v>6479</v>
      </c>
      <c r="X50" s="16"/>
      <c r="Y50" s="16">
        <v>12399</v>
      </c>
      <c r="Z50" s="16"/>
      <c r="AA50" s="16">
        <v>41228</v>
      </c>
      <c r="AB50" s="16"/>
      <c r="AC50" s="16">
        <v>256114</v>
      </c>
      <c r="AD50" s="16"/>
      <c r="AE50" s="16">
        <v>525500</v>
      </c>
      <c r="AF50" s="16"/>
      <c r="AG50" s="16">
        <v>0</v>
      </c>
      <c r="AH50" s="16"/>
      <c r="AI50" s="16">
        <v>0</v>
      </c>
      <c r="AJ50" s="16"/>
      <c r="AK50" s="16">
        <f t="shared" si="13"/>
        <v>1768230</v>
      </c>
      <c r="AL50" s="16"/>
      <c r="AM50" s="16">
        <f t="shared" si="14"/>
        <v>-144265</v>
      </c>
      <c r="AN50" s="16"/>
      <c r="AO50" s="16">
        <v>535389</v>
      </c>
      <c r="AP50" s="16"/>
      <c r="AQ50" s="16">
        <f t="shared" si="29"/>
        <v>391124</v>
      </c>
      <c r="AR50" s="4"/>
      <c r="AS50" s="20">
        <f t="shared" si="30"/>
        <v>0</v>
      </c>
      <c r="AT50" s="20"/>
      <c r="AU50" s="20">
        <f t="shared" si="31"/>
        <v>0</v>
      </c>
      <c r="AV50" s="20"/>
      <c r="AW50" s="20">
        <f t="shared" si="32"/>
        <v>0</v>
      </c>
      <c r="AX50" s="20"/>
      <c r="AY50" s="20">
        <f t="shared" si="33"/>
        <v>0</v>
      </c>
    </row>
    <row r="51" spans="1:51" x14ac:dyDescent="0.2">
      <c r="A51" s="1" t="s">
        <v>22</v>
      </c>
      <c r="C51" s="1" t="s">
        <v>265</v>
      </c>
      <c r="E51" s="16">
        <v>2034941.29</v>
      </c>
      <c r="F51" s="16"/>
      <c r="G51" s="16">
        <v>204712.34</v>
      </c>
      <c r="H51" s="16"/>
      <c r="I51" s="16">
        <v>173310.11</v>
      </c>
      <c r="J51" s="16"/>
      <c r="K51" s="16">
        <v>0</v>
      </c>
      <c r="L51" s="16"/>
      <c r="M51" s="16">
        <v>-1656918.84</v>
      </c>
      <c r="N51" s="16"/>
      <c r="O51" s="16">
        <f t="shared" si="12"/>
        <v>-1656918.8399999999</v>
      </c>
      <c r="P51" s="16"/>
      <c r="Q51" s="16">
        <v>409501.06</v>
      </c>
      <c r="R51" s="16"/>
      <c r="S51" s="16">
        <v>451792.63</v>
      </c>
      <c r="T51" s="16"/>
      <c r="U51" s="16">
        <v>770678.38</v>
      </c>
      <c r="V51" s="16"/>
      <c r="W51" s="16">
        <v>8185.64</v>
      </c>
      <c r="X51" s="16"/>
      <c r="Y51" s="16">
        <v>0</v>
      </c>
      <c r="Z51" s="16"/>
      <c r="AA51" s="16">
        <v>101083.36</v>
      </c>
      <c r="AB51" s="16"/>
      <c r="AC51" s="16">
        <v>0</v>
      </c>
      <c r="AD51" s="16"/>
      <c r="AE51" s="16">
        <v>0</v>
      </c>
      <c r="AF51" s="16"/>
      <c r="AG51" s="16">
        <v>0</v>
      </c>
      <c r="AH51" s="16"/>
      <c r="AI51" s="16">
        <v>0</v>
      </c>
      <c r="AJ51" s="16"/>
      <c r="AK51" s="16">
        <f t="shared" si="13"/>
        <v>1741241.0699999998</v>
      </c>
      <c r="AL51" s="16"/>
      <c r="AM51" s="16">
        <f t="shared" si="14"/>
        <v>84322.229999999749</v>
      </c>
      <c r="AN51" s="16"/>
      <c r="AO51" s="16">
        <v>3131788.5</v>
      </c>
      <c r="AP51" s="16"/>
      <c r="AQ51" s="16">
        <f t="shared" si="29"/>
        <v>3216110.7299999995</v>
      </c>
      <c r="AR51" s="4"/>
      <c r="AS51" s="20">
        <f t="shared" si="30"/>
        <v>0</v>
      </c>
      <c r="AT51" s="20"/>
      <c r="AU51" s="20">
        <f t="shared" si="31"/>
        <v>0</v>
      </c>
      <c r="AV51" s="20"/>
      <c r="AW51" s="20">
        <f t="shared" si="32"/>
        <v>2.3283064365386963E-10</v>
      </c>
      <c r="AX51" s="20"/>
      <c r="AY51" s="20">
        <f t="shared" si="33"/>
        <v>0</v>
      </c>
    </row>
    <row r="52" spans="1:51" x14ac:dyDescent="0.2">
      <c r="A52" s="1" t="s">
        <v>49</v>
      </c>
      <c r="C52" s="1" t="s">
        <v>306</v>
      </c>
      <c r="E52" s="16">
        <v>177552.08</v>
      </c>
      <c r="F52" s="16"/>
      <c r="G52" s="16">
        <v>3140</v>
      </c>
      <c r="H52" s="16"/>
      <c r="I52" s="16">
        <v>46398.73</v>
      </c>
      <c r="J52" s="16"/>
      <c r="K52" s="16">
        <v>46799.08</v>
      </c>
      <c r="L52" s="16"/>
      <c r="M52" s="16">
        <v>-81214.27</v>
      </c>
      <c r="N52" s="16"/>
      <c r="O52" s="16">
        <f t="shared" si="12"/>
        <v>-81214.269999999975</v>
      </c>
      <c r="P52" s="16"/>
      <c r="Q52" s="16">
        <v>40985.53</v>
      </c>
      <c r="R52" s="16"/>
      <c r="S52" s="16">
        <v>0</v>
      </c>
      <c r="T52" s="16"/>
      <c r="U52" s="16">
        <v>32637.1</v>
      </c>
      <c r="V52" s="16"/>
      <c r="W52" s="16">
        <v>0</v>
      </c>
      <c r="X52" s="16"/>
      <c r="Y52" s="16">
        <v>0</v>
      </c>
      <c r="Z52" s="16"/>
      <c r="AA52" s="16">
        <v>3625.75</v>
      </c>
      <c r="AB52" s="16"/>
      <c r="AC52" s="16">
        <v>0</v>
      </c>
      <c r="AD52" s="16"/>
      <c r="AE52" s="16">
        <v>0</v>
      </c>
      <c r="AF52" s="16"/>
      <c r="AG52" s="16">
        <v>0</v>
      </c>
      <c r="AH52" s="16"/>
      <c r="AI52" s="16">
        <v>0</v>
      </c>
      <c r="AJ52" s="16"/>
      <c r="AK52" s="16">
        <f t="shared" si="13"/>
        <v>77248.38</v>
      </c>
      <c r="AL52" s="16"/>
      <c r="AM52" s="16">
        <f t="shared" si="14"/>
        <v>-3965.8899999999994</v>
      </c>
      <c r="AN52" s="16"/>
      <c r="AO52" s="16">
        <v>62564.14</v>
      </c>
      <c r="AP52" s="16"/>
      <c r="AQ52" s="16">
        <f t="shared" si="29"/>
        <v>58598.25</v>
      </c>
      <c r="AR52" s="4"/>
      <c r="AS52" s="20">
        <f t="shared" si="30"/>
        <v>0</v>
      </c>
      <c r="AT52" s="20"/>
      <c r="AU52" s="20">
        <f t="shared" si="31"/>
        <v>0</v>
      </c>
      <c r="AV52" s="20"/>
      <c r="AW52" s="20">
        <f t="shared" si="32"/>
        <v>2.9103830456733704E-11</v>
      </c>
      <c r="AX52" s="20"/>
      <c r="AY52" s="20">
        <f t="shared" si="33"/>
        <v>0</v>
      </c>
    </row>
    <row r="53" spans="1:51" x14ac:dyDescent="0.2">
      <c r="A53" s="1" t="s">
        <v>143</v>
      </c>
      <c r="C53" s="1" t="s">
        <v>823</v>
      </c>
      <c r="E53" s="16">
        <v>307089.37</v>
      </c>
      <c r="F53" s="16"/>
      <c r="G53" s="16">
        <v>703.2</v>
      </c>
      <c r="H53" s="16"/>
      <c r="I53" s="16">
        <v>19248.07</v>
      </c>
      <c r="J53" s="16"/>
      <c r="K53" s="16">
        <v>431.55</v>
      </c>
      <c r="L53" s="16"/>
      <c r="M53" s="16">
        <v>-286706.55</v>
      </c>
      <c r="N53" s="16"/>
      <c r="O53" s="16">
        <f t="shared" si="12"/>
        <v>-286706.55</v>
      </c>
      <c r="P53" s="16"/>
      <c r="Q53" s="16">
        <v>92592.55</v>
      </c>
      <c r="R53" s="16"/>
      <c r="S53" s="16">
        <v>0</v>
      </c>
      <c r="T53" s="16"/>
      <c r="U53" s="16">
        <v>168408.12</v>
      </c>
      <c r="V53" s="16"/>
      <c r="W53" s="16">
        <v>0</v>
      </c>
      <c r="X53" s="16"/>
      <c r="Y53" s="16">
        <v>0</v>
      </c>
      <c r="Z53" s="16"/>
      <c r="AA53" s="16">
        <v>1167.8900000000001</v>
      </c>
      <c r="AB53" s="16"/>
      <c r="AC53" s="16">
        <v>0</v>
      </c>
      <c r="AD53" s="16"/>
      <c r="AE53" s="16">
        <v>0</v>
      </c>
      <c r="AF53" s="16"/>
      <c r="AG53" s="16">
        <v>0</v>
      </c>
      <c r="AH53" s="16"/>
      <c r="AI53" s="16">
        <v>0</v>
      </c>
      <c r="AJ53" s="16"/>
      <c r="AK53" s="16">
        <f t="shared" si="13"/>
        <v>262168.56</v>
      </c>
      <c r="AL53" s="16"/>
      <c r="AM53" s="16">
        <f t="shared" si="14"/>
        <v>-24537.989999999991</v>
      </c>
      <c r="AN53" s="16"/>
      <c r="AO53" s="16">
        <v>269247.28999999998</v>
      </c>
      <c r="AP53" s="16"/>
      <c r="AQ53" s="16">
        <f t="shared" si="29"/>
        <v>244709.3</v>
      </c>
      <c r="AR53" s="4"/>
      <c r="AS53" s="20">
        <f t="shared" si="30"/>
        <v>0</v>
      </c>
      <c r="AT53" s="20"/>
      <c r="AU53" s="20">
        <f t="shared" si="31"/>
        <v>0</v>
      </c>
      <c r="AV53" s="20"/>
      <c r="AW53" s="20">
        <f t="shared" si="32"/>
        <v>0</v>
      </c>
      <c r="AX53" s="20"/>
      <c r="AY53" s="20">
        <f t="shared" si="33"/>
        <v>0</v>
      </c>
    </row>
    <row r="54" spans="1:51" x14ac:dyDescent="0.2">
      <c r="A54" s="1" t="s">
        <v>10</v>
      </c>
      <c r="C54" s="1" t="s">
        <v>253</v>
      </c>
      <c r="E54" s="16">
        <v>343066.78</v>
      </c>
      <c r="F54" s="16"/>
      <c r="G54" s="16">
        <v>94644.01</v>
      </c>
      <c r="H54" s="16"/>
      <c r="I54" s="16">
        <v>40410.9</v>
      </c>
      <c r="J54" s="16"/>
      <c r="K54" s="16">
        <v>0</v>
      </c>
      <c r="L54" s="16"/>
      <c r="M54" s="16">
        <v>-208011.87</v>
      </c>
      <c r="N54" s="16"/>
      <c r="O54" s="16">
        <f t="shared" si="12"/>
        <v>-208011.87000000002</v>
      </c>
      <c r="P54" s="16"/>
      <c r="Q54" s="16">
        <v>185461.53</v>
      </c>
      <c r="R54" s="16"/>
      <c r="S54" s="16">
        <v>0</v>
      </c>
      <c r="T54" s="16"/>
      <c r="U54" s="16">
        <v>87631.83</v>
      </c>
      <c r="V54" s="16"/>
      <c r="W54" s="16">
        <v>224.35</v>
      </c>
      <c r="X54" s="16"/>
      <c r="Y54" s="16">
        <v>0</v>
      </c>
      <c r="Z54" s="16"/>
      <c r="AA54" s="16">
        <v>16028.5</v>
      </c>
      <c r="AB54" s="16"/>
      <c r="AC54" s="16">
        <v>0</v>
      </c>
      <c r="AD54" s="16"/>
      <c r="AE54" s="16">
        <v>-16385.95</v>
      </c>
      <c r="AF54" s="16"/>
      <c r="AG54" s="16">
        <v>40</v>
      </c>
      <c r="AH54" s="16"/>
      <c r="AI54" s="16">
        <v>37975.050000000003</v>
      </c>
      <c r="AJ54" s="16"/>
      <c r="AK54" s="16">
        <f t="shared" si="13"/>
        <v>310975.30999999994</v>
      </c>
      <c r="AL54" s="16"/>
      <c r="AM54" s="16">
        <f t="shared" si="14"/>
        <v>102963.43999999994</v>
      </c>
      <c r="AN54" s="16"/>
      <c r="AO54" s="16">
        <v>133123.70000000001</v>
      </c>
      <c r="AP54" s="16"/>
      <c r="AQ54" s="16">
        <f t="shared" si="29"/>
        <v>236087.13999999996</v>
      </c>
      <c r="AR54" s="4"/>
      <c r="AS54" s="20">
        <f t="shared" si="30"/>
        <v>0</v>
      </c>
      <c r="AT54" s="20"/>
      <c r="AU54" s="20">
        <f t="shared" si="31"/>
        <v>0</v>
      </c>
      <c r="AV54" s="20"/>
      <c r="AW54" s="20">
        <f t="shared" si="32"/>
        <v>0</v>
      </c>
      <c r="AX54" s="20"/>
      <c r="AY54" s="20">
        <f t="shared" si="33"/>
        <v>0</v>
      </c>
    </row>
    <row r="55" spans="1:51" x14ac:dyDescent="0.2">
      <c r="A55" s="4" t="s">
        <v>418</v>
      </c>
      <c r="B55" s="4"/>
      <c r="C55" s="4" t="s">
        <v>690</v>
      </c>
      <c r="D55" s="4"/>
      <c r="E55" s="16">
        <v>2013797</v>
      </c>
      <c r="F55" s="16"/>
      <c r="G55" s="16">
        <v>354239</v>
      </c>
      <c r="H55" s="16"/>
      <c r="I55" s="16">
        <v>162384</v>
      </c>
      <c r="J55" s="16"/>
      <c r="K55" s="16">
        <v>170937</v>
      </c>
      <c r="L55" s="16"/>
      <c r="M55" s="16">
        <f>SUM(G55:K55)-E55</f>
        <v>-1326237</v>
      </c>
      <c r="N55" s="16"/>
      <c r="O55" s="16">
        <f t="shared" si="12"/>
        <v>-1326237</v>
      </c>
      <c r="P55" s="16"/>
      <c r="Q55" s="16">
        <f>215823+16955</f>
        <v>232778</v>
      </c>
      <c r="R55" s="16"/>
      <c r="S55" s="16">
        <f>796708+398295</f>
        <v>1195003</v>
      </c>
      <c r="T55" s="16"/>
      <c r="U55" s="16">
        <v>127994</v>
      </c>
      <c r="V55" s="16"/>
      <c r="W55" s="16">
        <v>26558</v>
      </c>
      <c r="X55" s="16"/>
      <c r="Y55" s="16">
        <v>0</v>
      </c>
      <c r="Z55" s="16"/>
      <c r="AA55" s="16">
        <v>76829</v>
      </c>
      <c r="AB55" s="16"/>
      <c r="AC55" s="16">
        <v>81838</v>
      </c>
      <c r="AD55" s="16"/>
      <c r="AE55" s="16">
        <v>0</v>
      </c>
      <c r="AF55" s="16"/>
      <c r="AG55" s="16">
        <v>0</v>
      </c>
      <c r="AH55" s="16"/>
      <c r="AI55" s="16">
        <v>0</v>
      </c>
      <c r="AJ55" s="16"/>
      <c r="AK55" s="16">
        <f t="shared" si="13"/>
        <v>1741000</v>
      </c>
      <c r="AL55" s="16"/>
      <c r="AM55" s="16">
        <f t="shared" si="14"/>
        <v>414763</v>
      </c>
      <c r="AN55" s="16"/>
      <c r="AO55" s="16">
        <v>2447739</v>
      </c>
      <c r="AP55" s="16"/>
      <c r="AQ55" s="16">
        <f t="shared" si="29"/>
        <v>2862502</v>
      </c>
      <c r="AR55" s="4"/>
      <c r="AS55" s="20">
        <f t="shared" si="30"/>
        <v>0</v>
      </c>
      <c r="AT55" s="20"/>
      <c r="AU55" s="20">
        <f t="shared" si="31"/>
        <v>0</v>
      </c>
      <c r="AV55" s="20"/>
      <c r="AW55" s="20">
        <f t="shared" si="32"/>
        <v>0</v>
      </c>
      <c r="AX55" s="20"/>
      <c r="AY55" s="20">
        <f t="shared" si="33"/>
        <v>0</v>
      </c>
    </row>
    <row r="56" spans="1:51" x14ac:dyDescent="0.2">
      <c r="A56" s="1" t="s">
        <v>138</v>
      </c>
      <c r="C56" s="1" t="s">
        <v>430</v>
      </c>
      <c r="E56" s="16">
        <v>71954.22</v>
      </c>
      <c r="F56" s="16"/>
      <c r="G56" s="16">
        <v>5059.2700000000004</v>
      </c>
      <c r="H56" s="16"/>
      <c r="I56" s="16">
        <v>15083.51</v>
      </c>
      <c r="J56" s="16"/>
      <c r="K56" s="16">
        <v>0</v>
      </c>
      <c r="L56" s="16"/>
      <c r="M56" s="16">
        <v>-51811.44</v>
      </c>
      <c r="N56" s="16"/>
      <c r="O56" s="16">
        <f t="shared" si="12"/>
        <v>-51811.439999999995</v>
      </c>
      <c r="P56" s="16"/>
      <c r="Q56" s="16">
        <v>27376.12</v>
      </c>
      <c r="R56" s="16"/>
      <c r="S56" s="16">
        <v>0</v>
      </c>
      <c r="T56" s="16"/>
      <c r="U56" s="16">
        <v>9619.52</v>
      </c>
      <c r="V56" s="16"/>
      <c r="W56" s="16">
        <v>0</v>
      </c>
      <c r="X56" s="16"/>
      <c r="Y56" s="16">
        <v>0</v>
      </c>
      <c r="Z56" s="16"/>
      <c r="AA56" s="16">
        <v>9015.33</v>
      </c>
      <c r="AB56" s="16"/>
      <c r="AC56" s="16">
        <v>0</v>
      </c>
      <c r="AD56" s="16"/>
      <c r="AE56" s="16">
        <v>0</v>
      </c>
      <c r="AF56" s="16"/>
      <c r="AG56" s="16">
        <v>0</v>
      </c>
      <c r="AH56" s="16"/>
      <c r="AI56" s="16">
        <v>0</v>
      </c>
      <c r="AJ56" s="16"/>
      <c r="AK56" s="16">
        <f t="shared" si="13"/>
        <v>46010.97</v>
      </c>
      <c r="AL56" s="16"/>
      <c r="AM56" s="16">
        <f t="shared" si="14"/>
        <v>-5800.4700000000012</v>
      </c>
      <c r="AN56" s="16"/>
      <c r="AO56" s="16">
        <v>70138.52</v>
      </c>
      <c r="AP56" s="16"/>
      <c r="AQ56" s="16">
        <f t="shared" si="29"/>
        <v>64338.05</v>
      </c>
      <c r="AR56" s="4"/>
      <c r="AS56" s="20">
        <f t="shared" si="30"/>
        <v>0</v>
      </c>
      <c r="AT56" s="20"/>
      <c r="AU56" s="20">
        <f t="shared" si="31"/>
        <v>0</v>
      </c>
      <c r="AV56" s="20"/>
      <c r="AW56" s="20">
        <f t="shared" si="32"/>
        <v>7.2759576141834259E-12</v>
      </c>
      <c r="AX56" s="20"/>
      <c r="AY56" s="20">
        <f t="shared" si="33"/>
        <v>0</v>
      </c>
    </row>
    <row r="57" spans="1:51" x14ac:dyDescent="0.2">
      <c r="A57" s="1" t="s">
        <v>800</v>
      </c>
      <c r="C57" s="1" t="s">
        <v>377</v>
      </c>
      <c r="E57" s="16">
        <v>210137.61</v>
      </c>
      <c r="F57" s="16"/>
      <c r="G57" s="16">
        <v>0</v>
      </c>
      <c r="H57" s="16"/>
      <c r="I57" s="16">
        <v>29995.59</v>
      </c>
      <c r="J57" s="16"/>
      <c r="K57" s="16">
        <v>0</v>
      </c>
      <c r="L57" s="16"/>
      <c r="M57" s="16">
        <v>-180142.02</v>
      </c>
      <c r="N57" s="16"/>
      <c r="O57" s="16">
        <f t="shared" si="12"/>
        <v>-180142.02</v>
      </c>
      <c r="P57" s="16"/>
      <c r="Q57" s="16">
        <v>97246.84</v>
      </c>
      <c r="R57" s="16"/>
      <c r="S57" s="16">
        <v>42644.13</v>
      </c>
      <c r="T57" s="16"/>
      <c r="U57" s="16">
        <v>0</v>
      </c>
      <c r="V57" s="16"/>
      <c r="W57" s="16">
        <v>3764.97</v>
      </c>
      <c r="X57" s="16"/>
      <c r="Y57" s="16">
        <v>0</v>
      </c>
      <c r="Z57" s="16"/>
      <c r="AA57" s="16">
        <v>23877.3</v>
      </c>
      <c r="AB57" s="16"/>
      <c r="AC57" s="16">
        <v>29627.14</v>
      </c>
      <c r="AD57" s="16"/>
      <c r="AE57" s="16">
        <v>0</v>
      </c>
      <c r="AF57" s="16"/>
      <c r="AG57" s="16">
        <v>0</v>
      </c>
      <c r="AH57" s="16"/>
      <c r="AI57" s="16">
        <v>0</v>
      </c>
      <c r="AJ57" s="16"/>
      <c r="AK57" s="16">
        <f t="shared" si="13"/>
        <v>197160.38</v>
      </c>
      <c r="AL57" s="16"/>
      <c r="AM57" s="16">
        <f t="shared" si="14"/>
        <v>17018.360000000015</v>
      </c>
      <c r="AN57" s="16"/>
      <c r="AO57" s="16">
        <v>204384.16</v>
      </c>
      <c r="AP57" s="16"/>
      <c r="AQ57" s="16">
        <f t="shared" si="29"/>
        <v>221402.52000000002</v>
      </c>
      <c r="AR57" s="4"/>
      <c r="AS57" s="20">
        <f t="shared" si="30"/>
        <v>0</v>
      </c>
      <c r="AT57" s="20"/>
      <c r="AU57" s="20">
        <f t="shared" si="31"/>
        <v>0</v>
      </c>
      <c r="AV57" s="20"/>
      <c r="AW57" s="20">
        <f t="shared" si="32"/>
        <v>0</v>
      </c>
      <c r="AX57" s="20"/>
      <c r="AY57" s="20">
        <f t="shared" si="33"/>
        <v>0</v>
      </c>
    </row>
    <row r="58" spans="1:51" x14ac:dyDescent="0.2">
      <c r="A58" s="1" t="s">
        <v>410</v>
      </c>
      <c r="C58" s="1" t="s">
        <v>408</v>
      </c>
      <c r="E58" s="16">
        <v>49275.53</v>
      </c>
      <c r="F58" s="16"/>
      <c r="G58" s="16">
        <v>6200.12</v>
      </c>
      <c r="H58" s="16"/>
      <c r="I58" s="16">
        <v>16689.93</v>
      </c>
      <c r="J58" s="16"/>
      <c r="K58" s="16">
        <v>0</v>
      </c>
      <c r="L58" s="16"/>
      <c r="M58" s="16">
        <v>-26385.48</v>
      </c>
      <c r="N58" s="16"/>
      <c r="O58" s="16">
        <f t="shared" si="12"/>
        <v>-26385.479999999996</v>
      </c>
      <c r="P58" s="16"/>
      <c r="Q58" s="16">
        <v>14617.06</v>
      </c>
      <c r="R58" s="16"/>
      <c r="S58" s="16">
        <v>0</v>
      </c>
      <c r="T58" s="16"/>
      <c r="U58" s="16">
        <v>15363.29</v>
      </c>
      <c r="V58" s="16"/>
      <c r="W58" s="16">
        <v>0</v>
      </c>
      <c r="X58" s="16"/>
      <c r="Y58" s="16">
        <v>0</v>
      </c>
      <c r="Z58" s="16"/>
      <c r="AA58" s="16">
        <v>1727.44</v>
      </c>
      <c r="AB58" s="16"/>
      <c r="AC58" s="16">
        <v>0</v>
      </c>
      <c r="AD58" s="16"/>
      <c r="AE58" s="16">
        <v>0</v>
      </c>
      <c r="AF58" s="16"/>
      <c r="AG58" s="16">
        <v>0</v>
      </c>
      <c r="AH58" s="16"/>
      <c r="AI58" s="16">
        <v>0</v>
      </c>
      <c r="AJ58" s="16"/>
      <c r="AK58" s="16">
        <f t="shared" si="13"/>
        <v>31707.789999999997</v>
      </c>
      <c r="AL58" s="16"/>
      <c r="AM58" s="16">
        <f t="shared" si="14"/>
        <v>5322.3099999999977</v>
      </c>
      <c r="AN58" s="16"/>
      <c r="AO58" s="16">
        <v>52539.33</v>
      </c>
      <c r="AP58" s="16"/>
      <c r="AQ58" s="16">
        <f t="shared" si="29"/>
        <v>57861.64</v>
      </c>
      <c r="AR58" s="4"/>
      <c r="AS58" s="20">
        <f t="shared" si="30"/>
        <v>0</v>
      </c>
      <c r="AT58" s="20"/>
      <c r="AU58" s="20">
        <f t="shared" si="31"/>
        <v>0</v>
      </c>
      <c r="AV58" s="20"/>
      <c r="AW58" s="20">
        <f t="shared" si="32"/>
        <v>0</v>
      </c>
      <c r="AX58" s="20"/>
      <c r="AY58" s="20">
        <f t="shared" si="33"/>
        <v>0</v>
      </c>
    </row>
    <row r="59" spans="1:51" x14ac:dyDescent="0.2">
      <c r="A59" s="1" t="s">
        <v>238</v>
      </c>
      <c r="C59" s="1" t="s">
        <v>558</v>
      </c>
      <c r="E59" s="16">
        <v>481001.56</v>
      </c>
      <c r="F59" s="16"/>
      <c r="G59" s="16">
        <v>7459.07</v>
      </c>
      <c r="H59" s="16"/>
      <c r="I59" s="16">
        <v>55336.9</v>
      </c>
      <c r="J59" s="16"/>
      <c r="K59" s="16">
        <v>0</v>
      </c>
      <c r="L59" s="16"/>
      <c r="M59" s="16">
        <v>-418205.59</v>
      </c>
      <c r="N59" s="16"/>
      <c r="O59" s="16">
        <f t="shared" si="12"/>
        <v>-418205.58999999997</v>
      </c>
      <c r="P59" s="16"/>
      <c r="Q59" s="16">
        <v>181683.65</v>
      </c>
      <c r="R59" s="16"/>
      <c r="S59" s="16">
        <v>180651</v>
      </c>
      <c r="T59" s="16"/>
      <c r="U59" s="16">
        <v>6697.28</v>
      </c>
      <c r="V59" s="16"/>
      <c r="W59" s="16">
        <v>360.45</v>
      </c>
      <c r="X59" s="16"/>
      <c r="Y59" s="16">
        <v>0</v>
      </c>
      <c r="Z59" s="16"/>
      <c r="AA59" s="16">
        <v>11209.87</v>
      </c>
      <c r="AB59" s="16"/>
      <c r="AC59" s="16">
        <v>400000</v>
      </c>
      <c r="AD59" s="16"/>
      <c r="AE59" s="16">
        <v>21521.73</v>
      </c>
      <c r="AF59" s="16"/>
      <c r="AG59" s="16">
        <v>0</v>
      </c>
      <c r="AH59" s="16"/>
      <c r="AI59" s="16">
        <v>0</v>
      </c>
      <c r="AJ59" s="16"/>
      <c r="AK59" s="16">
        <f t="shared" si="13"/>
        <v>802123.98</v>
      </c>
      <c r="AL59" s="16"/>
      <c r="AM59" s="16">
        <f t="shared" si="14"/>
        <v>383918.38999999996</v>
      </c>
      <c r="AN59" s="16"/>
      <c r="AO59" s="16">
        <v>672161.84</v>
      </c>
      <c r="AP59" s="16"/>
      <c r="AQ59" s="16">
        <f t="shared" si="29"/>
        <v>1056080.23</v>
      </c>
      <c r="AR59" s="4"/>
      <c r="AS59" s="20">
        <f t="shared" si="30"/>
        <v>0</v>
      </c>
      <c r="AT59" s="20"/>
      <c r="AU59" s="20">
        <f t="shared" si="31"/>
        <v>0</v>
      </c>
      <c r="AV59" s="20"/>
      <c r="AW59" s="20">
        <f t="shared" si="32"/>
        <v>0</v>
      </c>
      <c r="AX59" s="20"/>
      <c r="AY59" s="20">
        <f t="shared" si="33"/>
        <v>0</v>
      </c>
    </row>
    <row r="60" spans="1:51" x14ac:dyDescent="0.2">
      <c r="A60" s="1" t="s">
        <v>169</v>
      </c>
      <c r="C60" s="1" t="s">
        <v>460</v>
      </c>
      <c r="E60" s="16">
        <v>68427.199999999997</v>
      </c>
      <c r="F60" s="16"/>
      <c r="G60" s="16">
        <v>0</v>
      </c>
      <c r="H60" s="16"/>
      <c r="I60" s="16">
        <v>12010.12</v>
      </c>
      <c r="J60" s="16"/>
      <c r="K60" s="16">
        <v>0</v>
      </c>
      <c r="L60" s="16"/>
      <c r="M60" s="16">
        <v>-56417.08</v>
      </c>
      <c r="N60" s="16"/>
      <c r="O60" s="16">
        <f t="shared" si="12"/>
        <v>-56417.079999999994</v>
      </c>
      <c r="P60" s="16"/>
      <c r="Q60" s="16">
        <v>24811.85</v>
      </c>
      <c r="R60" s="16"/>
      <c r="S60" s="16">
        <v>0</v>
      </c>
      <c r="T60" s="16"/>
      <c r="U60" s="16">
        <v>34398.81</v>
      </c>
      <c r="V60" s="16"/>
      <c r="W60" s="16">
        <v>246.79</v>
      </c>
      <c r="X60" s="16"/>
      <c r="Y60" s="16">
        <v>0</v>
      </c>
      <c r="Z60" s="16"/>
      <c r="AA60" s="16">
        <v>605</v>
      </c>
      <c r="AB60" s="16"/>
      <c r="AC60" s="16">
        <v>0</v>
      </c>
      <c r="AD60" s="16"/>
      <c r="AE60" s="16">
        <v>0</v>
      </c>
      <c r="AF60" s="16"/>
      <c r="AG60" s="16">
        <v>0</v>
      </c>
      <c r="AH60" s="16"/>
      <c r="AI60" s="16">
        <v>0</v>
      </c>
      <c r="AJ60" s="16"/>
      <c r="AK60" s="16">
        <f t="shared" si="13"/>
        <v>60062.45</v>
      </c>
      <c r="AL60" s="16"/>
      <c r="AM60" s="16">
        <f t="shared" si="14"/>
        <v>3645.3699999999953</v>
      </c>
      <c r="AN60" s="16"/>
      <c r="AO60" s="16">
        <v>244009.79</v>
      </c>
      <c r="AP60" s="16"/>
      <c r="AQ60" s="16">
        <f t="shared" si="29"/>
        <v>247655.16</v>
      </c>
      <c r="AR60" s="4"/>
      <c r="AS60" s="20">
        <f t="shared" si="30"/>
        <v>0</v>
      </c>
      <c r="AT60" s="20"/>
      <c r="AU60" s="20">
        <f t="shared" si="31"/>
        <v>0</v>
      </c>
      <c r="AV60" s="20"/>
      <c r="AW60" s="20">
        <f t="shared" si="32"/>
        <v>7.2759576141834259E-12</v>
      </c>
      <c r="AX60" s="20"/>
      <c r="AY60" s="20">
        <f t="shared" si="33"/>
        <v>0</v>
      </c>
    </row>
    <row r="61" spans="1:51" x14ac:dyDescent="0.2">
      <c r="A61" s="1" t="s">
        <v>7</v>
      </c>
      <c r="C61" s="1" t="s">
        <v>848</v>
      </c>
      <c r="E61" s="16">
        <v>71498.83</v>
      </c>
      <c r="F61" s="16"/>
      <c r="G61" s="16">
        <v>9508.9699999999993</v>
      </c>
      <c r="H61" s="16"/>
      <c r="I61" s="16">
        <v>23846.39</v>
      </c>
      <c r="J61" s="16"/>
      <c r="K61" s="16">
        <v>0</v>
      </c>
      <c r="L61" s="16"/>
      <c r="M61" s="16">
        <v>-38143.47</v>
      </c>
      <c r="N61" s="16"/>
      <c r="O61" s="16">
        <f t="shared" si="12"/>
        <v>-38143.47</v>
      </c>
      <c r="P61" s="16"/>
      <c r="Q61" s="16">
        <v>25397.040000000001</v>
      </c>
      <c r="R61" s="16"/>
      <c r="S61" s="16">
        <v>0</v>
      </c>
      <c r="T61" s="16"/>
      <c r="U61" s="16">
        <v>19706.77</v>
      </c>
      <c r="V61" s="16"/>
      <c r="W61" s="16">
        <v>232.67</v>
      </c>
      <c r="X61" s="16"/>
      <c r="Y61" s="16">
        <v>0</v>
      </c>
      <c r="Z61" s="16"/>
      <c r="AA61" s="16">
        <v>919.53</v>
      </c>
      <c r="AB61" s="16"/>
      <c r="AC61" s="16">
        <v>0</v>
      </c>
      <c r="AD61" s="16"/>
      <c r="AE61" s="16">
        <v>0</v>
      </c>
      <c r="AF61" s="16"/>
      <c r="AG61" s="16">
        <v>0</v>
      </c>
      <c r="AH61" s="16"/>
      <c r="AI61" s="16">
        <v>0</v>
      </c>
      <c r="AJ61" s="16"/>
      <c r="AK61" s="16">
        <f t="shared" si="13"/>
        <v>46256.009999999995</v>
      </c>
      <c r="AL61" s="16"/>
      <c r="AM61" s="16">
        <f t="shared" si="14"/>
        <v>8112.5399999999936</v>
      </c>
      <c r="AN61" s="16"/>
      <c r="AO61" s="16">
        <v>82580.05</v>
      </c>
      <c r="AP61" s="16"/>
      <c r="AQ61" s="16">
        <f t="shared" si="29"/>
        <v>90692.59</v>
      </c>
      <c r="AR61" s="4"/>
      <c r="AS61" s="20">
        <f t="shared" si="30"/>
        <v>0</v>
      </c>
      <c r="AT61" s="20"/>
      <c r="AU61" s="20">
        <f t="shared" si="31"/>
        <v>0</v>
      </c>
      <c r="AV61" s="20"/>
      <c r="AW61" s="20">
        <f t="shared" si="32"/>
        <v>0</v>
      </c>
      <c r="AX61" s="20"/>
      <c r="AY61" s="20">
        <f t="shared" si="33"/>
        <v>0</v>
      </c>
    </row>
    <row r="62" spans="1:51" x14ac:dyDescent="0.2">
      <c r="A62" s="1" t="s">
        <v>210</v>
      </c>
      <c r="C62" s="1" t="s">
        <v>502</v>
      </c>
      <c r="E62" s="16">
        <v>419284.23</v>
      </c>
      <c r="F62" s="16"/>
      <c r="G62" s="16">
        <v>20805</v>
      </c>
      <c r="H62" s="16"/>
      <c r="I62" s="16">
        <v>32498.35</v>
      </c>
      <c r="J62" s="16"/>
      <c r="K62" s="16">
        <v>0</v>
      </c>
      <c r="L62" s="16"/>
      <c r="M62" s="16">
        <v>-365980.88</v>
      </c>
      <c r="N62" s="16"/>
      <c r="O62" s="16">
        <f t="shared" si="12"/>
        <v>-365980.88</v>
      </c>
      <c r="P62" s="16"/>
      <c r="Q62" s="16">
        <v>306599.5</v>
      </c>
      <c r="R62" s="16"/>
      <c r="S62" s="16">
        <v>0</v>
      </c>
      <c r="T62" s="16"/>
      <c r="U62" s="16">
        <v>66251.3</v>
      </c>
      <c r="V62" s="16"/>
      <c r="W62" s="16">
        <v>0</v>
      </c>
      <c r="X62" s="16"/>
      <c r="Y62" s="16">
        <v>0</v>
      </c>
      <c r="Z62" s="16"/>
      <c r="AA62" s="16">
        <v>27797.4</v>
      </c>
      <c r="AB62" s="16"/>
      <c r="AC62" s="16">
        <v>0</v>
      </c>
      <c r="AD62" s="16"/>
      <c r="AE62" s="16">
        <v>0</v>
      </c>
      <c r="AF62" s="16"/>
      <c r="AG62" s="16">
        <v>0</v>
      </c>
      <c r="AH62" s="16"/>
      <c r="AI62" s="16">
        <v>0</v>
      </c>
      <c r="AJ62" s="16"/>
      <c r="AK62" s="16">
        <f t="shared" si="13"/>
        <v>400648.2</v>
      </c>
      <c r="AL62" s="16"/>
      <c r="AM62" s="16">
        <f t="shared" si="14"/>
        <v>34667.320000000007</v>
      </c>
      <c r="AN62" s="16"/>
      <c r="AO62" s="16">
        <v>1827144.08</v>
      </c>
      <c r="AP62" s="16"/>
      <c r="AQ62" s="16">
        <f t="shared" si="29"/>
        <v>1861811.4000000001</v>
      </c>
      <c r="AR62" s="4"/>
      <c r="AS62" s="20">
        <f t="shared" si="30"/>
        <v>0</v>
      </c>
      <c r="AT62" s="20"/>
      <c r="AU62" s="20">
        <f t="shared" si="31"/>
        <v>0</v>
      </c>
      <c r="AV62" s="20"/>
      <c r="AW62" s="20">
        <f t="shared" si="32"/>
        <v>0</v>
      </c>
      <c r="AX62" s="20"/>
      <c r="AY62" s="20">
        <f t="shared" si="33"/>
        <v>0</v>
      </c>
    </row>
    <row r="63" spans="1:51" x14ac:dyDescent="0.2">
      <c r="A63" s="1" t="s">
        <v>249</v>
      </c>
      <c r="C63" s="1" t="s">
        <v>554</v>
      </c>
      <c r="E63" s="16">
        <v>414911.96</v>
      </c>
      <c r="F63" s="16"/>
      <c r="G63" s="16">
        <v>600</v>
      </c>
      <c r="H63" s="16"/>
      <c r="I63" s="16">
        <v>5015.9799999999996</v>
      </c>
      <c r="J63" s="16"/>
      <c r="K63" s="16">
        <v>0</v>
      </c>
      <c r="L63" s="16"/>
      <c r="M63" s="16">
        <v>-409295.98</v>
      </c>
      <c r="N63" s="16"/>
      <c r="O63" s="16">
        <f t="shared" si="12"/>
        <v>-409295.98000000004</v>
      </c>
      <c r="P63" s="16"/>
      <c r="Q63" s="16">
        <v>388738.13</v>
      </c>
      <c r="R63" s="16"/>
      <c r="S63" s="16">
        <v>0</v>
      </c>
      <c r="T63" s="16"/>
      <c r="U63" s="16">
        <v>17059.52</v>
      </c>
      <c r="V63" s="16"/>
      <c r="W63" s="16">
        <v>2590.88</v>
      </c>
      <c r="X63" s="16"/>
      <c r="Y63" s="16">
        <v>0</v>
      </c>
      <c r="Z63" s="16"/>
      <c r="AA63" s="16">
        <v>77909.679999999993</v>
      </c>
      <c r="AB63" s="16"/>
      <c r="AC63" s="16">
        <v>0</v>
      </c>
      <c r="AD63" s="16"/>
      <c r="AE63" s="16">
        <v>0</v>
      </c>
      <c r="AF63" s="16"/>
      <c r="AG63" s="16">
        <v>0</v>
      </c>
      <c r="AH63" s="16"/>
      <c r="AI63" s="16">
        <v>0</v>
      </c>
      <c r="AJ63" s="16"/>
      <c r="AK63" s="16">
        <f t="shared" si="13"/>
        <v>486298.21</v>
      </c>
      <c r="AL63" s="16"/>
      <c r="AM63" s="16">
        <f t="shared" si="14"/>
        <v>77002.23000000004</v>
      </c>
      <c r="AN63" s="16"/>
      <c r="AO63" s="16">
        <v>1423666.92</v>
      </c>
      <c r="AP63" s="16"/>
      <c r="AQ63" s="16">
        <f t="shared" si="29"/>
        <v>1500669.15</v>
      </c>
      <c r="AR63" s="4"/>
      <c r="AS63" s="20">
        <f t="shared" si="30"/>
        <v>0</v>
      </c>
      <c r="AT63" s="20"/>
      <c r="AU63" s="20">
        <f t="shared" si="31"/>
        <v>0</v>
      </c>
      <c r="AV63" s="20"/>
      <c r="AW63" s="20">
        <f t="shared" si="32"/>
        <v>0</v>
      </c>
      <c r="AX63" s="20"/>
      <c r="AY63" s="20">
        <f t="shared" si="33"/>
        <v>0</v>
      </c>
    </row>
    <row r="64" spans="1:51" x14ac:dyDescent="0.2">
      <c r="A64" s="1" t="s">
        <v>383</v>
      </c>
      <c r="C64" s="1" t="s">
        <v>382</v>
      </c>
      <c r="E64" s="16">
        <v>88457.01</v>
      </c>
      <c r="F64" s="16"/>
      <c r="G64" s="16">
        <v>1105.93</v>
      </c>
      <c r="H64" s="16"/>
      <c r="I64" s="16">
        <v>20941.84</v>
      </c>
      <c r="J64" s="16"/>
      <c r="K64" s="16">
        <v>0</v>
      </c>
      <c r="L64" s="16"/>
      <c r="M64" s="16">
        <v>-66409.240000000005</v>
      </c>
      <c r="N64" s="16"/>
      <c r="O64" s="16">
        <f t="shared" si="12"/>
        <v>-66409.240000000005</v>
      </c>
      <c r="P64" s="16"/>
      <c r="Q64" s="16">
        <v>23548.85</v>
      </c>
      <c r="R64" s="16"/>
      <c r="S64" s="16">
        <v>0</v>
      </c>
      <c r="T64" s="16"/>
      <c r="U64" s="16">
        <v>18783.71</v>
      </c>
      <c r="V64" s="16"/>
      <c r="W64" s="16">
        <v>76.569999999999993</v>
      </c>
      <c r="X64" s="16"/>
      <c r="Y64" s="16">
        <v>0</v>
      </c>
      <c r="Z64" s="16"/>
      <c r="AA64" s="16">
        <v>0</v>
      </c>
      <c r="AB64" s="16"/>
      <c r="AC64" s="16">
        <v>0</v>
      </c>
      <c r="AD64" s="16"/>
      <c r="AE64" s="16">
        <v>0</v>
      </c>
      <c r="AF64" s="16"/>
      <c r="AG64" s="16">
        <v>0</v>
      </c>
      <c r="AH64" s="16"/>
      <c r="AI64" s="16">
        <v>0</v>
      </c>
      <c r="AJ64" s="16"/>
      <c r="AK64" s="16">
        <f t="shared" si="13"/>
        <v>42409.13</v>
      </c>
      <c r="AL64" s="16"/>
      <c r="AM64" s="16">
        <f t="shared" si="14"/>
        <v>-24000.110000000008</v>
      </c>
      <c r="AN64" s="16"/>
      <c r="AO64" s="16">
        <v>74153.570000000007</v>
      </c>
      <c r="AP64" s="16"/>
      <c r="AQ64" s="16">
        <f t="shared" si="29"/>
        <v>50153.46</v>
      </c>
      <c r="AR64" s="4"/>
      <c r="AS64" s="20">
        <f t="shared" si="30"/>
        <v>0</v>
      </c>
      <c r="AT64" s="20"/>
      <c r="AU64" s="20">
        <f t="shared" si="31"/>
        <v>0</v>
      </c>
      <c r="AV64" s="20"/>
      <c r="AW64" s="20">
        <f t="shared" si="32"/>
        <v>0</v>
      </c>
      <c r="AX64" s="20"/>
      <c r="AY64" s="20">
        <f t="shared" si="33"/>
        <v>0</v>
      </c>
    </row>
    <row r="65" spans="1:51" x14ac:dyDescent="0.2">
      <c r="A65" s="1" t="s">
        <v>830</v>
      </c>
      <c r="C65" s="1" t="s">
        <v>253</v>
      </c>
      <c r="E65" s="16">
        <v>76453.56</v>
      </c>
      <c r="F65" s="16"/>
      <c r="G65" s="16">
        <v>0</v>
      </c>
      <c r="H65" s="16"/>
      <c r="I65" s="16">
        <v>0</v>
      </c>
      <c r="J65" s="16"/>
      <c r="K65" s="16">
        <v>0</v>
      </c>
      <c r="L65" s="16"/>
      <c r="M65" s="16">
        <v>-76453.56</v>
      </c>
      <c r="N65" s="16"/>
      <c r="O65" s="16">
        <f t="shared" si="12"/>
        <v>-76453.56</v>
      </c>
      <c r="P65" s="16"/>
      <c r="Q65" s="16">
        <v>0</v>
      </c>
      <c r="R65" s="16"/>
      <c r="S65" s="16">
        <v>0</v>
      </c>
      <c r="T65" s="16"/>
      <c r="U65" s="16">
        <v>0</v>
      </c>
      <c r="V65" s="16"/>
      <c r="W65" s="16">
        <v>0</v>
      </c>
      <c r="X65" s="16"/>
      <c r="Y65" s="16">
        <v>0</v>
      </c>
      <c r="Z65" s="16"/>
      <c r="AA65" s="16">
        <v>110132.49</v>
      </c>
      <c r="AB65" s="16"/>
      <c r="AC65" s="16">
        <v>0</v>
      </c>
      <c r="AD65" s="16"/>
      <c r="AE65" s="16">
        <v>0</v>
      </c>
      <c r="AF65" s="16"/>
      <c r="AG65" s="16">
        <v>0</v>
      </c>
      <c r="AH65" s="16"/>
      <c r="AI65" s="16">
        <v>0</v>
      </c>
      <c r="AJ65" s="16"/>
      <c r="AK65" s="16">
        <f t="shared" si="13"/>
        <v>110132.49</v>
      </c>
      <c r="AL65" s="16"/>
      <c r="AM65" s="16">
        <f t="shared" si="14"/>
        <v>33678.930000000008</v>
      </c>
      <c r="AN65" s="16"/>
      <c r="AO65" s="16">
        <v>-78068</v>
      </c>
      <c r="AP65" s="16"/>
      <c r="AQ65" s="16">
        <f t="shared" si="29"/>
        <v>-44389.069999999992</v>
      </c>
      <c r="AR65" s="4"/>
      <c r="AS65" s="20">
        <f t="shared" si="30"/>
        <v>0</v>
      </c>
      <c r="AT65" s="20"/>
      <c r="AU65" s="20">
        <f t="shared" si="31"/>
        <v>0</v>
      </c>
      <c r="AV65" s="20"/>
      <c r="AW65" s="20">
        <f t="shared" si="32"/>
        <v>0</v>
      </c>
      <c r="AX65" s="20"/>
      <c r="AY65" s="20">
        <f t="shared" si="33"/>
        <v>0</v>
      </c>
    </row>
    <row r="66" spans="1:51" x14ac:dyDescent="0.2">
      <c r="A66" s="1" t="s">
        <v>79</v>
      </c>
      <c r="C66" s="1" t="s">
        <v>345</v>
      </c>
      <c r="E66" s="16">
        <v>1081665.06</v>
      </c>
      <c r="F66" s="16"/>
      <c r="G66" s="16">
        <v>148671.04000000001</v>
      </c>
      <c r="H66" s="16"/>
      <c r="I66" s="16">
        <v>134253.85</v>
      </c>
      <c r="J66" s="16"/>
      <c r="K66" s="16">
        <v>0</v>
      </c>
      <c r="L66" s="16"/>
      <c r="M66" s="16">
        <v>-798740.17</v>
      </c>
      <c r="N66" s="16"/>
      <c r="O66" s="16">
        <f t="shared" si="12"/>
        <v>-798740.17</v>
      </c>
      <c r="P66" s="16"/>
      <c r="Q66" s="16">
        <v>315984.77</v>
      </c>
      <c r="R66" s="16"/>
      <c r="S66" s="16">
        <v>184883.1</v>
      </c>
      <c r="T66" s="16"/>
      <c r="U66" s="16">
        <v>238405.74</v>
      </c>
      <c r="V66" s="16"/>
      <c r="W66" s="16">
        <v>754.22</v>
      </c>
      <c r="X66" s="16"/>
      <c r="Y66" s="16">
        <v>17007.09</v>
      </c>
      <c r="Z66" s="16"/>
      <c r="AA66" s="16">
        <v>8262.9500000000007</v>
      </c>
      <c r="AB66" s="16"/>
      <c r="AC66" s="16">
        <v>0</v>
      </c>
      <c r="AD66" s="16"/>
      <c r="AE66" s="16">
        <v>0</v>
      </c>
      <c r="AF66" s="16"/>
      <c r="AG66" s="16">
        <v>0</v>
      </c>
      <c r="AH66" s="16"/>
      <c r="AI66" s="16">
        <v>0</v>
      </c>
      <c r="AJ66" s="16"/>
      <c r="AK66" s="16">
        <f t="shared" si="13"/>
        <v>765297.86999999988</v>
      </c>
      <c r="AL66" s="16"/>
      <c r="AM66" s="16">
        <f t="shared" si="14"/>
        <v>-33442.300000000163</v>
      </c>
      <c r="AN66" s="16"/>
      <c r="AO66" s="16">
        <v>630319.74</v>
      </c>
      <c r="AP66" s="16"/>
      <c r="AQ66" s="16">
        <f t="shared" si="29"/>
        <v>596877.43999999983</v>
      </c>
      <c r="AR66" s="4"/>
      <c r="AS66" s="20">
        <f t="shared" si="30"/>
        <v>0</v>
      </c>
      <c r="AT66" s="20"/>
      <c r="AU66" s="20">
        <f t="shared" si="31"/>
        <v>0</v>
      </c>
      <c r="AV66" s="20"/>
      <c r="AW66" s="20">
        <f t="shared" si="32"/>
        <v>0</v>
      </c>
      <c r="AX66" s="20"/>
      <c r="AY66" s="20">
        <f t="shared" si="33"/>
        <v>0</v>
      </c>
    </row>
    <row r="67" spans="1:51" x14ac:dyDescent="0.2">
      <c r="A67" s="4" t="s">
        <v>390</v>
      </c>
      <c r="B67" s="4"/>
      <c r="C67" s="4" t="s">
        <v>624</v>
      </c>
      <c r="D67" s="4"/>
      <c r="E67" s="16">
        <v>3045540</v>
      </c>
      <c r="F67" s="16"/>
      <c r="G67" s="16">
        <v>242323</v>
      </c>
      <c r="H67" s="16"/>
      <c r="I67" s="16">
        <v>13697</v>
      </c>
      <c r="J67" s="16"/>
      <c r="K67" s="16">
        <v>0</v>
      </c>
      <c r="L67" s="16"/>
      <c r="M67" s="16">
        <f>SUM(G67:K67)-E67</f>
        <v>-2789520</v>
      </c>
      <c r="N67" s="16"/>
      <c r="O67" s="16">
        <f t="shared" si="12"/>
        <v>-2789520</v>
      </c>
      <c r="P67" s="16"/>
      <c r="Q67" s="16">
        <v>1841465</v>
      </c>
      <c r="R67" s="16"/>
      <c r="S67" s="16">
        <v>0</v>
      </c>
      <c r="T67" s="16"/>
      <c r="U67" s="16">
        <v>73731</v>
      </c>
      <c r="V67" s="16"/>
      <c r="W67" s="16">
        <v>973</v>
      </c>
      <c r="X67" s="16"/>
      <c r="Y67" s="16">
        <v>0</v>
      </c>
      <c r="Z67" s="16"/>
      <c r="AA67" s="16">
        <f>203394+39593+144241+72+1610+300-472-11415</f>
        <v>377323</v>
      </c>
      <c r="AB67" s="16"/>
      <c r="AC67" s="16">
        <v>0</v>
      </c>
      <c r="AD67" s="16"/>
      <c r="AE67" s="16">
        <f>60000-6000-40000</f>
        <v>14000</v>
      </c>
      <c r="AF67" s="16"/>
      <c r="AG67" s="16">
        <v>0</v>
      </c>
      <c r="AH67" s="16"/>
      <c r="AI67" s="16">
        <v>0</v>
      </c>
      <c r="AJ67" s="16"/>
      <c r="AK67" s="16">
        <f t="shared" si="13"/>
        <v>2307492</v>
      </c>
      <c r="AL67" s="16"/>
      <c r="AM67" s="16">
        <f t="shared" si="14"/>
        <v>-482028</v>
      </c>
      <c r="AN67" s="16"/>
      <c r="AO67" s="16">
        <v>1527795</v>
      </c>
      <c r="AP67" s="16"/>
      <c r="AQ67" s="16">
        <f t="shared" si="29"/>
        <v>1045767</v>
      </c>
      <c r="AR67" s="4"/>
      <c r="AS67" s="20">
        <f t="shared" si="30"/>
        <v>0</v>
      </c>
      <c r="AT67" s="20"/>
      <c r="AU67" s="20">
        <f t="shared" si="31"/>
        <v>0</v>
      </c>
      <c r="AV67" s="20"/>
      <c r="AW67" s="20">
        <f t="shared" si="32"/>
        <v>0</v>
      </c>
      <c r="AX67" s="20"/>
      <c r="AY67" s="20">
        <f t="shared" si="33"/>
        <v>0</v>
      </c>
    </row>
    <row r="68" spans="1:51" x14ac:dyDescent="0.2">
      <c r="A68" s="1" t="s">
        <v>838</v>
      </c>
      <c r="C68" s="1" t="s">
        <v>430</v>
      </c>
      <c r="E68" s="16">
        <v>309055.09000000003</v>
      </c>
      <c r="F68" s="16"/>
      <c r="G68" s="16">
        <v>42622.42</v>
      </c>
      <c r="H68" s="16"/>
      <c r="I68" s="16">
        <v>29141.93</v>
      </c>
      <c r="J68" s="16"/>
      <c r="K68" s="16">
        <v>0</v>
      </c>
      <c r="L68" s="16"/>
      <c r="M68" s="16">
        <v>-237290.74</v>
      </c>
      <c r="N68" s="16"/>
      <c r="O68" s="16">
        <f t="shared" si="12"/>
        <v>-237290.74000000005</v>
      </c>
      <c r="P68" s="16"/>
      <c r="Q68" s="16">
        <v>85377.8</v>
      </c>
      <c r="R68" s="16"/>
      <c r="S68" s="16">
        <v>0</v>
      </c>
      <c r="T68" s="16"/>
      <c r="U68" s="16">
        <v>14787.92</v>
      </c>
      <c r="V68" s="16"/>
      <c r="W68" s="16">
        <v>328.5</v>
      </c>
      <c r="X68" s="16"/>
      <c r="Y68" s="16">
        <v>3971.2</v>
      </c>
      <c r="Z68" s="16"/>
      <c r="AA68" s="16">
        <v>123882.36</v>
      </c>
      <c r="AB68" s="16"/>
      <c r="AC68" s="16">
        <v>0</v>
      </c>
      <c r="AD68" s="16"/>
      <c r="AE68" s="16">
        <v>0</v>
      </c>
      <c r="AF68" s="16"/>
      <c r="AG68" s="16">
        <v>0</v>
      </c>
      <c r="AH68" s="16"/>
      <c r="AI68" s="16">
        <v>0</v>
      </c>
      <c r="AJ68" s="16"/>
      <c r="AK68" s="16">
        <f t="shared" si="13"/>
        <v>228347.78</v>
      </c>
      <c r="AL68" s="16"/>
      <c r="AM68" s="16">
        <f t="shared" si="14"/>
        <v>-8942.9599999999919</v>
      </c>
      <c r="AN68" s="16"/>
      <c r="AO68" s="16">
        <v>32247.53</v>
      </c>
      <c r="AP68" s="16"/>
      <c r="AQ68" s="16">
        <f t="shared" si="29"/>
        <v>23304.570000000007</v>
      </c>
      <c r="AR68" s="4"/>
      <c r="AS68" s="20">
        <f t="shared" si="30"/>
        <v>0</v>
      </c>
      <c r="AT68" s="20"/>
      <c r="AU68" s="20">
        <f t="shared" si="31"/>
        <v>0</v>
      </c>
      <c r="AV68" s="20"/>
      <c r="AW68" s="20">
        <f t="shared" si="32"/>
        <v>-5.8207660913467407E-11</v>
      </c>
      <c r="AX68" s="20"/>
      <c r="AY68" s="20">
        <f t="shared" si="33"/>
        <v>-5.8207660913467407E-11</v>
      </c>
    </row>
    <row r="69" spans="1:51" x14ac:dyDescent="0.2">
      <c r="A69" s="1" t="s">
        <v>5</v>
      </c>
      <c r="C69" s="1" t="s">
        <v>651</v>
      </c>
      <c r="E69" s="16">
        <v>56800.17</v>
      </c>
      <c r="F69" s="16"/>
      <c r="G69" s="16">
        <v>3070.32</v>
      </c>
      <c r="H69" s="16"/>
      <c r="I69" s="16">
        <v>11407.45</v>
      </c>
      <c r="J69" s="16"/>
      <c r="K69" s="16">
        <v>0</v>
      </c>
      <c r="L69" s="16"/>
      <c r="M69" s="16">
        <v>-42322.400000000001</v>
      </c>
      <c r="N69" s="16"/>
      <c r="O69" s="16">
        <f t="shared" si="12"/>
        <v>-42322.399999999994</v>
      </c>
      <c r="P69" s="16"/>
      <c r="Q69" s="16">
        <v>35910.629999999997</v>
      </c>
      <c r="R69" s="16"/>
      <c r="S69" s="16">
        <v>0</v>
      </c>
      <c r="T69" s="16"/>
      <c r="U69" s="16">
        <v>8650.2000000000007</v>
      </c>
      <c r="V69" s="16"/>
      <c r="W69" s="16">
        <v>5.46</v>
      </c>
      <c r="X69" s="16"/>
      <c r="Y69" s="16">
        <v>0</v>
      </c>
      <c r="Z69" s="16"/>
      <c r="AA69" s="16">
        <v>3078.27</v>
      </c>
      <c r="AB69" s="16"/>
      <c r="AC69" s="16">
        <v>0</v>
      </c>
      <c r="AD69" s="16"/>
      <c r="AE69" s="16">
        <v>0</v>
      </c>
      <c r="AF69" s="16"/>
      <c r="AG69" s="16">
        <v>0</v>
      </c>
      <c r="AH69" s="16"/>
      <c r="AI69" s="16">
        <v>0</v>
      </c>
      <c r="AJ69" s="16"/>
      <c r="AK69" s="16">
        <f t="shared" si="13"/>
        <v>47644.56</v>
      </c>
      <c r="AL69" s="16"/>
      <c r="AM69" s="16">
        <f t="shared" si="14"/>
        <v>5322.1599999999962</v>
      </c>
      <c r="AN69" s="16"/>
      <c r="AO69" s="16">
        <v>26114.89</v>
      </c>
      <c r="AP69" s="16"/>
      <c r="AQ69" s="16">
        <f t="shared" si="29"/>
        <v>31437.049999999996</v>
      </c>
      <c r="AR69" s="4"/>
      <c r="AS69" s="20">
        <f t="shared" si="30"/>
        <v>0</v>
      </c>
      <c r="AT69" s="20"/>
      <c r="AU69" s="20">
        <f t="shared" si="31"/>
        <v>0</v>
      </c>
      <c r="AV69" s="20"/>
      <c r="AW69" s="20">
        <f t="shared" si="32"/>
        <v>7.2759576141834259E-12</v>
      </c>
      <c r="AX69" s="20"/>
      <c r="AY69" s="20">
        <f t="shared" si="33"/>
        <v>0</v>
      </c>
    </row>
    <row r="70" spans="1:51" x14ac:dyDescent="0.2">
      <c r="A70" s="1" t="s">
        <v>128</v>
      </c>
      <c r="C70" s="1" t="s">
        <v>419</v>
      </c>
      <c r="E70" s="16">
        <v>1521354.71</v>
      </c>
      <c r="F70" s="16"/>
      <c r="G70" s="16">
        <v>212601.67</v>
      </c>
      <c r="H70" s="16"/>
      <c r="I70" s="16">
        <v>120116.92</v>
      </c>
      <c r="J70" s="16"/>
      <c r="K70" s="16">
        <v>0</v>
      </c>
      <c r="L70" s="16"/>
      <c r="M70" s="16">
        <v>-1188636.1200000001</v>
      </c>
      <c r="N70" s="16"/>
      <c r="O70" s="16">
        <f t="shared" si="12"/>
        <v>-1188636.1200000001</v>
      </c>
      <c r="P70" s="16"/>
      <c r="Q70" s="16">
        <v>251525.24</v>
      </c>
      <c r="R70" s="16"/>
      <c r="S70" s="16">
        <v>932172.81</v>
      </c>
      <c r="T70" s="16"/>
      <c r="U70" s="16">
        <v>51073.71</v>
      </c>
      <c r="V70" s="16"/>
      <c r="W70" s="16">
        <v>1986.87</v>
      </c>
      <c r="X70" s="16"/>
      <c r="Y70" s="16">
        <v>10625.09</v>
      </c>
      <c r="Z70" s="16"/>
      <c r="AA70" s="16">
        <v>7948.95</v>
      </c>
      <c r="AB70" s="16"/>
      <c r="AC70" s="16">
        <v>0</v>
      </c>
      <c r="AD70" s="16"/>
      <c r="AE70" s="16">
        <v>-15000</v>
      </c>
      <c r="AF70" s="16"/>
      <c r="AG70" s="16">
        <v>0</v>
      </c>
      <c r="AH70" s="16"/>
      <c r="AI70" s="16">
        <v>0</v>
      </c>
      <c r="AJ70" s="16"/>
      <c r="AK70" s="16">
        <f t="shared" si="13"/>
        <v>1240332.6700000002</v>
      </c>
      <c r="AL70" s="16"/>
      <c r="AM70" s="16">
        <f t="shared" si="14"/>
        <v>51696.550000000047</v>
      </c>
      <c r="AN70" s="16"/>
      <c r="AO70" s="16">
        <v>1408598.81</v>
      </c>
      <c r="AP70" s="16"/>
      <c r="AQ70" s="16">
        <f t="shared" si="29"/>
        <v>1460295.36</v>
      </c>
      <c r="AR70" s="4"/>
      <c r="AS70" s="20">
        <f t="shared" si="30"/>
        <v>0</v>
      </c>
      <c r="AT70" s="20"/>
      <c r="AU70" s="20">
        <f t="shared" si="31"/>
        <v>0</v>
      </c>
      <c r="AV70" s="20"/>
      <c r="AW70" s="20">
        <f t="shared" si="32"/>
        <v>0</v>
      </c>
      <c r="AX70" s="20"/>
      <c r="AY70" s="20">
        <f t="shared" si="33"/>
        <v>0</v>
      </c>
    </row>
    <row r="71" spans="1:51" x14ac:dyDescent="0.2">
      <c r="A71" s="4" t="s">
        <v>700</v>
      </c>
      <c r="B71" s="4"/>
      <c r="C71" s="4" t="s">
        <v>511</v>
      </c>
      <c r="D71" s="4"/>
      <c r="E71" s="16">
        <v>1443295</v>
      </c>
      <c r="F71" s="16"/>
      <c r="G71" s="16">
        <v>175854</v>
      </c>
      <c r="H71" s="16"/>
      <c r="I71" s="16">
        <v>261769</v>
      </c>
      <c r="J71" s="16"/>
      <c r="K71" s="16">
        <v>0</v>
      </c>
      <c r="L71" s="16"/>
      <c r="M71" s="16">
        <f>SUM(G71:K71)-E71</f>
        <v>-1005672</v>
      </c>
      <c r="N71" s="16"/>
      <c r="O71" s="16">
        <f t="shared" si="12"/>
        <v>-1005672</v>
      </c>
      <c r="P71" s="16"/>
      <c r="Q71" s="16">
        <f>76711+100578</f>
        <v>177289</v>
      </c>
      <c r="R71" s="16"/>
      <c r="S71" s="16">
        <v>822788</v>
      </c>
      <c r="T71" s="16"/>
      <c r="U71" s="16">
        <v>194338</v>
      </c>
      <c r="V71" s="16"/>
      <c r="W71" s="16">
        <v>0</v>
      </c>
      <c r="X71" s="16"/>
      <c r="Y71" s="16">
        <v>0</v>
      </c>
      <c r="Z71" s="16"/>
      <c r="AA71" s="16">
        <v>56497</v>
      </c>
      <c r="AB71" s="16"/>
      <c r="AC71" s="16">
        <v>0</v>
      </c>
      <c r="AD71" s="16"/>
      <c r="AE71" s="16">
        <v>0</v>
      </c>
      <c r="AF71" s="16"/>
      <c r="AG71" s="16">
        <v>0</v>
      </c>
      <c r="AH71" s="16"/>
      <c r="AI71" s="16">
        <v>0</v>
      </c>
      <c r="AJ71" s="16"/>
      <c r="AK71" s="16">
        <f t="shared" si="13"/>
        <v>1250912</v>
      </c>
      <c r="AL71" s="16"/>
      <c r="AM71" s="16">
        <f t="shared" si="14"/>
        <v>245240</v>
      </c>
      <c r="AN71" s="16"/>
      <c r="AO71" s="16">
        <v>-536485</v>
      </c>
      <c r="AP71" s="16"/>
      <c r="AQ71" s="16">
        <f t="shared" si="29"/>
        <v>-291245</v>
      </c>
      <c r="AR71" s="4"/>
      <c r="AS71" s="20">
        <f t="shared" si="30"/>
        <v>0</v>
      </c>
      <c r="AT71" s="20"/>
      <c r="AU71" s="20">
        <f t="shared" si="31"/>
        <v>0</v>
      </c>
      <c r="AV71" s="20"/>
      <c r="AW71" s="20">
        <f t="shared" si="32"/>
        <v>0</v>
      </c>
      <c r="AX71" s="20"/>
      <c r="AY71" s="20">
        <f t="shared" si="33"/>
        <v>0</v>
      </c>
    </row>
    <row r="72" spans="1:51" x14ac:dyDescent="0.2">
      <c r="A72" s="1" t="s">
        <v>700</v>
      </c>
      <c r="C72" s="1" t="s">
        <v>511</v>
      </c>
      <c r="E72" s="16">
        <v>1443292.15</v>
      </c>
      <c r="F72" s="16"/>
      <c r="G72" s="16">
        <v>178417.33</v>
      </c>
      <c r="H72" s="16"/>
      <c r="I72" s="16">
        <v>220689.27</v>
      </c>
      <c r="J72" s="16"/>
      <c r="K72" s="16">
        <v>0</v>
      </c>
      <c r="L72" s="16"/>
      <c r="M72" s="16">
        <v>-1044185.55</v>
      </c>
      <c r="N72" s="16"/>
      <c r="O72" s="16">
        <f t="shared" si="12"/>
        <v>-1044185.5499999998</v>
      </c>
      <c r="P72" s="16"/>
      <c r="Q72" s="16">
        <v>200498.76</v>
      </c>
      <c r="R72" s="16"/>
      <c r="S72" s="16">
        <v>822788.2</v>
      </c>
      <c r="T72" s="16"/>
      <c r="U72" s="16">
        <v>200208.81</v>
      </c>
      <c r="V72" s="16"/>
      <c r="W72" s="16">
        <v>0</v>
      </c>
      <c r="X72" s="16"/>
      <c r="Y72" s="16">
        <v>35676.93</v>
      </c>
      <c r="Z72" s="16"/>
      <c r="AA72" s="16">
        <v>30253.86</v>
      </c>
      <c r="AB72" s="16"/>
      <c r="AC72" s="16">
        <v>0</v>
      </c>
      <c r="AD72" s="16"/>
      <c r="AE72" s="16">
        <v>0</v>
      </c>
      <c r="AF72" s="16"/>
      <c r="AG72" s="16">
        <v>0</v>
      </c>
      <c r="AH72" s="16"/>
      <c r="AI72" s="16">
        <v>0</v>
      </c>
      <c r="AJ72" s="16"/>
      <c r="AK72" s="16">
        <f t="shared" si="13"/>
        <v>1289426.56</v>
      </c>
      <c r="AL72" s="16"/>
      <c r="AM72" s="16">
        <f t="shared" si="14"/>
        <v>245241.01</v>
      </c>
      <c r="AN72" s="16"/>
      <c r="AO72" s="16">
        <v>-621064.01</v>
      </c>
      <c r="AP72" s="16"/>
      <c r="AQ72" s="16">
        <f t="shared" si="29"/>
        <v>-375823</v>
      </c>
      <c r="AR72" s="4"/>
      <c r="AS72" s="20">
        <f t="shared" si="30"/>
        <v>0</v>
      </c>
      <c r="AT72" s="20"/>
      <c r="AU72" s="20">
        <f t="shared" si="31"/>
        <v>0</v>
      </c>
      <c r="AV72" s="20"/>
      <c r="AW72" s="20">
        <f t="shared" si="32"/>
        <v>2.3283064365386963E-10</v>
      </c>
      <c r="AX72" s="20"/>
      <c r="AY72" s="20">
        <f t="shared" si="33"/>
        <v>0</v>
      </c>
    </row>
    <row r="73" spans="1:51" x14ac:dyDescent="0.2">
      <c r="A73" s="1" t="s">
        <v>106</v>
      </c>
      <c r="C73" s="1" t="s">
        <v>790</v>
      </c>
      <c r="E73" s="16">
        <v>425026.11</v>
      </c>
      <c r="F73" s="16"/>
      <c r="G73" s="16">
        <v>229706.27</v>
      </c>
      <c r="H73" s="16"/>
      <c r="I73" s="16">
        <v>16342.68</v>
      </c>
      <c r="J73" s="16"/>
      <c r="K73" s="16">
        <v>0</v>
      </c>
      <c r="L73" s="16"/>
      <c r="M73" s="16">
        <v>-178977.16</v>
      </c>
      <c r="N73" s="16"/>
      <c r="O73" s="16">
        <f t="shared" si="12"/>
        <v>-178977.16</v>
      </c>
      <c r="P73" s="16"/>
      <c r="Q73" s="16">
        <v>51530.18</v>
      </c>
      <c r="R73" s="16"/>
      <c r="S73" s="16">
        <v>0</v>
      </c>
      <c r="T73" s="16"/>
      <c r="U73" s="16">
        <v>26241.119999999999</v>
      </c>
      <c r="V73" s="16"/>
      <c r="W73" s="16">
        <v>53.09</v>
      </c>
      <c r="X73" s="16"/>
      <c r="Y73" s="16">
        <v>0</v>
      </c>
      <c r="Z73" s="16"/>
      <c r="AA73" s="16">
        <v>73479.72</v>
      </c>
      <c r="AB73" s="16"/>
      <c r="AC73" s="16">
        <v>0</v>
      </c>
      <c r="AD73" s="16"/>
      <c r="AE73" s="16">
        <v>0</v>
      </c>
      <c r="AF73" s="16"/>
      <c r="AG73" s="16">
        <v>0</v>
      </c>
      <c r="AH73" s="16"/>
      <c r="AI73" s="16">
        <v>0</v>
      </c>
      <c r="AJ73" s="16"/>
      <c r="AK73" s="16">
        <f t="shared" si="13"/>
        <v>151304.10999999999</v>
      </c>
      <c r="AL73" s="16"/>
      <c r="AM73" s="16">
        <f t="shared" si="14"/>
        <v>-27673.050000000017</v>
      </c>
      <c r="AN73" s="16"/>
      <c r="AO73" s="16">
        <v>234312.14</v>
      </c>
      <c r="AP73" s="16"/>
      <c r="AQ73" s="16">
        <f t="shared" si="29"/>
        <v>206639.09</v>
      </c>
      <c r="AR73" s="4"/>
      <c r="AS73" s="20">
        <f t="shared" si="30"/>
        <v>0</v>
      </c>
      <c r="AT73" s="20"/>
      <c r="AU73" s="20">
        <f t="shared" si="31"/>
        <v>0</v>
      </c>
      <c r="AV73" s="20"/>
      <c r="AW73" s="20">
        <f t="shared" si="32"/>
        <v>0</v>
      </c>
      <c r="AX73" s="20"/>
      <c r="AY73" s="20">
        <f t="shared" si="33"/>
        <v>0</v>
      </c>
    </row>
    <row r="74" spans="1:51" x14ac:dyDescent="0.2">
      <c r="A74" s="4" t="s">
        <v>482</v>
      </c>
      <c r="B74" s="4"/>
      <c r="C74" s="4" t="s">
        <v>694</v>
      </c>
      <c r="D74" s="4"/>
      <c r="E74" s="16">
        <v>2825811</v>
      </c>
      <c r="F74" s="16"/>
      <c r="G74" s="16">
        <v>6887</v>
      </c>
      <c r="H74" s="16"/>
      <c r="I74" s="16">
        <v>0</v>
      </c>
      <c r="J74" s="16"/>
      <c r="K74" s="16">
        <v>0</v>
      </c>
      <c r="L74" s="16"/>
      <c r="M74" s="16">
        <f>SUM(G74:K74)-E74</f>
        <v>-2818924</v>
      </c>
      <c r="N74" s="16"/>
      <c r="O74" s="16">
        <f t="shared" si="12"/>
        <v>-2818924</v>
      </c>
      <c r="P74" s="16"/>
      <c r="Q74" s="16">
        <v>2404875</v>
      </c>
      <c r="R74" s="16"/>
      <c r="S74" s="16">
        <v>0</v>
      </c>
      <c r="T74" s="16"/>
      <c r="U74" s="16">
        <v>0</v>
      </c>
      <c r="V74" s="16"/>
      <c r="W74" s="16">
        <v>8258</v>
      </c>
      <c r="X74" s="16"/>
      <c r="Y74" s="16">
        <v>0</v>
      </c>
      <c r="Z74" s="16"/>
      <c r="AA74" s="16">
        <f>95605+223903+62325+886</f>
        <v>382719</v>
      </c>
      <c r="AB74" s="16"/>
      <c r="AC74" s="16">
        <v>0</v>
      </c>
      <c r="AD74" s="16"/>
      <c r="AE74" s="16">
        <f>157300+17500+17500-900-5000-17500-17500-18385-103300-157300</f>
        <v>-127585</v>
      </c>
      <c r="AF74" s="16"/>
      <c r="AG74" s="16">
        <v>0</v>
      </c>
      <c r="AH74" s="16"/>
      <c r="AI74" s="16">
        <v>0</v>
      </c>
      <c r="AJ74" s="16"/>
      <c r="AK74" s="16">
        <f t="shared" si="13"/>
        <v>2668267</v>
      </c>
      <c r="AL74" s="16"/>
      <c r="AM74" s="16">
        <f t="shared" si="14"/>
        <v>-150657</v>
      </c>
      <c r="AN74" s="16"/>
      <c r="AO74" s="16">
        <v>557672</v>
      </c>
      <c r="AP74" s="16"/>
      <c r="AQ74" s="16">
        <f t="shared" si="29"/>
        <v>407015</v>
      </c>
      <c r="AR74" s="4"/>
      <c r="AS74" s="20">
        <f t="shared" si="30"/>
        <v>0</v>
      </c>
      <c r="AT74" s="20"/>
      <c r="AU74" s="20">
        <f t="shared" si="31"/>
        <v>0</v>
      </c>
      <c r="AV74" s="20"/>
      <c r="AW74" s="20">
        <f t="shared" si="32"/>
        <v>0</v>
      </c>
      <c r="AX74" s="20"/>
      <c r="AY74" s="20">
        <f t="shared" si="33"/>
        <v>0</v>
      </c>
    </row>
    <row r="75" spans="1:51" x14ac:dyDescent="0.2">
      <c r="A75" s="1" t="s">
        <v>716</v>
      </c>
      <c r="C75" s="1" t="s">
        <v>293</v>
      </c>
      <c r="E75" s="16">
        <v>795368.42</v>
      </c>
      <c r="F75" s="16"/>
      <c r="G75" s="16">
        <v>487387.63</v>
      </c>
      <c r="H75" s="16"/>
      <c r="I75" s="16">
        <v>5004.17</v>
      </c>
      <c r="J75" s="16"/>
      <c r="K75" s="16">
        <v>0</v>
      </c>
      <c r="L75" s="16"/>
      <c r="M75" s="16">
        <v>-302976.62</v>
      </c>
      <c r="N75" s="16"/>
      <c r="O75" s="16">
        <f t="shared" si="12"/>
        <v>-302976.62000000005</v>
      </c>
      <c r="P75" s="16"/>
      <c r="Q75" s="16">
        <v>6105.38</v>
      </c>
      <c r="R75" s="16"/>
      <c r="S75" s="16">
        <v>66801.7</v>
      </c>
      <c r="T75" s="16"/>
      <c r="U75" s="16">
        <v>14180.28</v>
      </c>
      <c r="V75" s="16"/>
      <c r="W75" s="16">
        <v>0.52</v>
      </c>
      <c r="X75" s="16"/>
      <c r="Y75" s="16">
        <v>0</v>
      </c>
      <c r="Z75" s="16"/>
      <c r="AA75" s="16">
        <v>40671.85</v>
      </c>
      <c r="AB75" s="16"/>
      <c r="AC75" s="16">
        <v>0</v>
      </c>
      <c r="AD75" s="16"/>
      <c r="AE75" s="16">
        <v>0</v>
      </c>
      <c r="AF75" s="16"/>
      <c r="AG75" s="16">
        <v>0</v>
      </c>
      <c r="AH75" s="16"/>
      <c r="AI75" s="16">
        <v>0</v>
      </c>
      <c r="AJ75" s="16"/>
      <c r="AK75" s="16">
        <f t="shared" si="13"/>
        <v>127759.73000000001</v>
      </c>
      <c r="AL75" s="16"/>
      <c r="AM75" s="16">
        <f t="shared" si="14"/>
        <v>-175216.88999999998</v>
      </c>
      <c r="AN75" s="16"/>
      <c r="AO75" s="16">
        <v>358740.66</v>
      </c>
      <c r="AP75" s="16"/>
      <c r="AQ75" s="16">
        <f t="shared" si="29"/>
        <v>183523.77</v>
      </c>
      <c r="AR75" s="4"/>
      <c r="AS75" s="20">
        <f t="shared" si="30"/>
        <v>0</v>
      </c>
      <c r="AT75" s="20"/>
      <c r="AU75" s="20">
        <f t="shared" si="31"/>
        <v>0</v>
      </c>
      <c r="AV75" s="20"/>
      <c r="AW75" s="20">
        <f t="shared" si="32"/>
        <v>0</v>
      </c>
      <c r="AX75" s="20"/>
      <c r="AY75" s="20">
        <f t="shared" si="33"/>
        <v>0</v>
      </c>
    </row>
    <row r="76" spans="1:51" x14ac:dyDescent="0.2">
      <c r="A76" s="1" t="s">
        <v>401</v>
      </c>
      <c r="C76" s="1" t="s">
        <v>399</v>
      </c>
      <c r="E76" s="16">
        <v>2087600.7</v>
      </c>
      <c r="F76" s="16"/>
      <c r="G76" s="16">
        <v>274876.33</v>
      </c>
      <c r="H76" s="16"/>
      <c r="I76" s="16">
        <v>243943.52</v>
      </c>
      <c r="J76" s="16"/>
      <c r="K76" s="16">
        <v>14661.29</v>
      </c>
      <c r="L76" s="16"/>
      <c r="M76" s="16">
        <v>-1554119.56</v>
      </c>
      <c r="N76" s="16"/>
      <c r="O76" s="16">
        <f t="shared" si="12"/>
        <v>-1554119.5599999998</v>
      </c>
      <c r="P76" s="16"/>
      <c r="Q76" s="16">
        <v>55981.56</v>
      </c>
      <c r="R76" s="16"/>
      <c r="S76" s="16">
        <v>856397.13</v>
      </c>
      <c r="T76" s="16"/>
      <c r="U76" s="16">
        <v>551258.63</v>
      </c>
      <c r="V76" s="16"/>
      <c r="W76" s="16">
        <v>2952.57</v>
      </c>
      <c r="X76" s="16"/>
      <c r="Y76" s="16">
        <v>0</v>
      </c>
      <c r="Z76" s="16"/>
      <c r="AA76" s="16">
        <v>101458.75</v>
      </c>
      <c r="AB76" s="16"/>
      <c r="AC76" s="16">
        <v>0</v>
      </c>
      <c r="AD76" s="16"/>
      <c r="AE76" s="16">
        <v>0</v>
      </c>
      <c r="AF76" s="16"/>
      <c r="AG76" s="16">
        <v>0</v>
      </c>
      <c r="AH76" s="16"/>
      <c r="AI76" s="16">
        <v>95223.29</v>
      </c>
      <c r="AJ76" s="16"/>
      <c r="AK76" s="16">
        <f t="shared" si="13"/>
        <v>1663271.93</v>
      </c>
      <c r="AL76" s="16"/>
      <c r="AM76" s="16">
        <f t="shared" si="14"/>
        <v>109152.36999999988</v>
      </c>
      <c r="AN76" s="16"/>
      <c r="AO76" s="16">
        <v>914970.29</v>
      </c>
      <c r="AP76" s="16"/>
      <c r="AQ76" s="16">
        <f t="shared" si="29"/>
        <v>1024122.6599999999</v>
      </c>
      <c r="AR76" s="4"/>
      <c r="AS76" s="20">
        <f t="shared" si="30"/>
        <v>0</v>
      </c>
      <c r="AT76" s="20"/>
      <c r="AU76" s="20">
        <f t="shared" si="31"/>
        <v>0</v>
      </c>
      <c r="AV76" s="20"/>
      <c r="AW76" s="20">
        <f t="shared" si="32"/>
        <v>2.3283064365386963E-10</v>
      </c>
      <c r="AX76" s="20"/>
      <c r="AY76" s="20">
        <f t="shared" si="33"/>
        <v>0</v>
      </c>
    </row>
    <row r="77" spans="1:51" x14ac:dyDescent="0.2">
      <c r="A77" s="1" t="s">
        <v>115</v>
      </c>
      <c r="C77" s="1" t="s">
        <v>396</v>
      </c>
      <c r="E77" s="16">
        <v>30599.01</v>
      </c>
      <c r="F77" s="16"/>
      <c r="G77" s="16">
        <v>1412.58</v>
      </c>
      <c r="H77" s="16"/>
      <c r="I77" s="16">
        <v>2387.73</v>
      </c>
      <c r="J77" s="16"/>
      <c r="K77" s="16">
        <v>0</v>
      </c>
      <c r="L77" s="16"/>
      <c r="M77" s="16">
        <v>-26798.7</v>
      </c>
      <c r="N77" s="16"/>
      <c r="O77" s="16">
        <f t="shared" si="12"/>
        <v>-26798.7</v>
      </c>
      <c r="P77" s="16"/>
      <c r="Q77" s="16">
        <v>11597.76</v>
      </c>
      <c r="R77" s="16"/>
      <c r="S77" s="16">
        <v>0</v>
      </c>
      <c r="T77" s="16"/>
      <c r="U77" s="16">
        <v>12768.98</v>
      </c>
      <c r="V77" s="16"/>
      <c r="W77" s="16">
        <v>2.69</v>
      </c>
      <c r="X77" s="16"/>
      <c r="Y77" s="16">
        <v>0</v>
      </c>
      <c r="Z77" s="16"/>
      <c r="AA77" s="16">
        <v>1530.65</v>
      </c>
      <c r="AB77" s="16"/>
      <c r="AC77" s="16">
        <v>0</v>
      </c>
      <c r="AD77" s="16"/>
      <c r="AE77" s="16">
        <v>0</v>
      </c>
      <c r="AF77" s="16"/>
      <c r="AG77" s="16">
        <v>0</v>
      </c>
      <c r="AH77" s="16"/>
      <c r="AI77" s="16">
        <v>0</v>
      </c>
      <c r="AJ77" s="16"/>
      <c r="AK77" s="16">
        <f t="shared" si="13"/>
        <v>25900.079999999998</v>
      </c>
      <c r="AL77" s="16"/>
      <c r="AM77" s="16">
        <f t="shared" si="14"/>
        <v>-898.62000000000262</v>
      </c>
      <c r="AN77" s="16"/>
      <c r="AO77" s="16">
        <v>6844.5</v>
      </c>
      <c r="AP77" s="16"/>
      <c r="AQ77" s="16">
        <f t="shared" si="29"/>
        <v>5945.8799999999974</v>
      </c>
      <c r="AR77" s="4"/>
      <c r="AS77" s="20">
        <f t="shared" si="30"/>
        <v>0</v>
      </c>
      <c r="AT77" s="20"/>
      <c r="AU77" s="20">
        <f t="shared" si="31"/>
        <v>0</v>
      </c>
      <c r="AV77" s="20"/>
      <c r="AW77" s="20">
        <f t="shared" si="32"/>
        <v>0</v>
      </c>
      <c r="AX77" s="20"/>
      <c r="AY77" s="20">
        <f t="shared" si="33"/>
        <v>0</v>
      </c>
    </row>
    <row r="78" spans="1:51" x14ac:dyDescent="0.2">
      <c r="A78" s="4" t="s">
        <v>299</v>
      </c>
      <c r="B78" s="4"/>
      <c r="C78" s="4" t="s">
        <v>293</v>
      </c>
      <c r="D78" s="4"/>
      <c r="E78" s="16">
        <v>18358776</v>
      </c>
      <c r="F78" s="16"/>
      <c r="G78" s="16">
        <v>1224967</v>
      </c>
      <c r="H78" s="16"/>
      <c r="I78" s="16">
        <v>13302</v>
      </c>
      <c r="J78" s="16"/>
      <c r="K78" s="16">
        <v>154134</v>
      </c>
      <c r="L78" s="16"/>
      <c r="M78" s="16">
        <f>SUM(G78:K78)-E78</f>
        <v>-16966373</v>
      </c>
      <c r="N78" s="16"/>
      <c r="O78" s="16">
        <f t="shared" si="12"/>
        <v>-16966373</v>
      </c>
      <c r="P78" s="16"/>
      <c r="Q78" s="16">
        <f>164963+405541+104219+249726+954639+58706</f>
        <v>1937794</v>
      </c>
      <c r="R78" s="16"/>
      <c r="S78" s="16">
        <v>16344492</v>
      </c>
      <c r="T78" s="16"/>
      <c r="U78" s="16">
        <v>633830</v>
      </c>
      <c r="V78" s="16"/>
      <c r="W78" s="16">
        <v>33486</v>
      </c>
      <c r="X78" s="16"/>
      <c r="Y78" s="16">
        <v>0</v>
      </c>
      <c r="Z78" s="16"/>
      <c r="AA78" s="16">
        <f>23945+255291</f>
        <v>279236</v>
      </c>
      <c r="AB78" s="16"/>
      <c r="AC78" s="16">
        <f>1900000+5305</f>
        <v>1905305</v>
      </c>
      <c r="AD78" s="16"/>
      <c r="AE78" s="16">
        <v>0</v>
      </c>
      <c r="AF78" s="16"/>
      <c r="AG78" s="16">
        <v>0</v>
      </c>
      <c r="AH78" s="16"/>
      <c r="AI78" s="16">
        <v>0</v>
      </c>
      <c r="AJ78" s="16"/>
      <c r="AK78" s="16">
        <f t="shared" si="13"/>
        <v>21134143</v>
      </c>
      <c r="AL78" s="16"/>
      <c r="AM78" s="16">
        <f t="shared" si="14"/>
        <v>4167770</v>
      </c>
      <c r="AN78" s="16"/>
      <c r="AO78" s="16">
        <v>12773445</v>
      </c>
      <c r="AP78" s="16"/>
      <c r="AQ78" s="16">
        <f t="shared" si="29"/>
        <v>16941215</v>
      </c>
      <c r="AR78" s="4"/>
      <c r="AS78" s="20">
        <f t="shared" si="30"/>
        <v>0</v>
      </c>
      <c r="AT78" s="20"/>
      <c r="AU78" s="20">
        <f t="shared" si="31"/>
        <v>0</v>
      </c>
      <c r="AV78" s="20"/>
      <c r="AW78" s="20">
        <f t="shared" si="32"/>
        <v>0</v>
      </c>
      <c r="AX78" s="20"/>
      <c r="AY78" s="20">
        <f t="shared" si="33"/>
        <v>0</v>
      </c>
    </row>
    <row r="79" spans="1:51" x14ac:dyDescent="0.2">
      <c r="A79" s="1" t="s">
        <v>103</v>
      </c>
      <c r="C79" s="1" t="s">
        <v>377</v>
      </c>
      <c r="E79" s="16">
        <v>111018.19</v>
      </c>
      <c r="F79" s="16"/>
      <c r="G79" s="16">
        <v>282.60000000000002</v>
      </c>
      <c r="H79" s="16"/>
      <c r="I79" s="16">
        <v>38155.760000000002</v>
      </c>
      <c r="J79" s="16"/>
      <c r="K79" s="16">
        <v>0</v>
      </c>
      <c r="L79" s="16"/>
      <c r="M79" s="16">
        <v>-72579.83</v>
      </c>
      <c r="N79" s="16"/>
      <c r="O79" s="16">
        <f t="shared" si="12"/>
        <v>-72579.829999999987</v>
      </c>
      <c r="P79" s="16"/>
      <c r="Q79" s="16">
        <v>24461.35</v>
      </c>
      <c r="R79" s="16"/>
      <c r="S79" s="16">
        <v>81306.559999999998</v>
      </c>
      <c r="T79" s="16"/>
      <c r="U79" s="16">
        <v>20478.46</v>
      </c>
      <c r="V79" s="16"/>
      <c r="W79" s="16">
        <v>27.97</v>
      </c>
      <c r="X79" s="16"/>
      <c r="Y79" s="16">
        <v>3553.71</v>
      </c>
      <c r="Z79" s="16"/>
      <c r="AA79" s="16">
        <v>11835.32</v>
      </c>
      <c r="AB79" s="16"/>
      <c r="AC79" s="16">
        <v>0</v>
      </c>
      <c r="AD79" s="16"/>
      <c r="AE79" s="16">
        <v>0</v>
      </c>
      <c r="AF79" s="16"/>
      <c r="AG79" s="16">
        <v>0</v>
      </c>
      <c r="AH79" s="16"/>
      <c r="AI79" s="16">
        <v>0</v>
      </c>
      <c r="AJ79" s="16"/>
      <c r="AK79" s="16">
        <f t="shared" si="13"/>
        <v>141663.37</v>
      </c>
      <c r="AL79" s="16"/>
      <c r="AM79" s="16">
        <f t="shared" si="14"/>
        <v>69083.539999999994</v>
      </c>
      <c r="AN79" s="16"/>
      <c r="AO79" s="16">
        <v>193235.23</v>
      </c>
      <c r="AP79" s="16"/>
      <c r="AQ79" s="16">
        <f t="shared" si="29"/>
        <v>262318.77</v>
      </c>
      <c r="AR79" s="4"/>
      <c r="AS79" s="20">
        <f t="shared" si="30"/>
        <v>0</v>
      </c>
      <c r="AT79" s="20"/>
      <c r="AU79" s="20">
        <f t="shared" si="31"/>
        <v>0</v>
      </c>
      <c r="AV79" s="20"/>
      <c r="AW79" s="20">
        <f t="shared" si="32"/>
        <v>0</v>
      </c>
      <c r="AX79" s="20"/>
      <c r="AY79" s="20">
        <f t="shared" si="33"/>
        <v>0</v>
      </c>
    </row>
    <row r="80" spans="1:51" x14ac:dyDescent="0.2">
      <c r="A80" s="1" t="s">
        <v>268</v>
      </c>
      <c r="C80" s="1" t="s">
        <v>269</v>
      </c>
      <c r="E80" s="16">
        <v>1120885.1399999999</v>
      </c>
      <c r="F80" s="16"/>
      <c r="G80" s="16">
        <v>287240.74</v>
      </c>
      <c r="H80" s="16"/>
      <c r="I80" s="16">
        <v>248805.53</v>
      </c>
      <c r="J80" s="16"/>
      <c r="K80" s="16">
        <v>1000</v>
      </c>
      <c r="L80" s="16"/>
      <c r="M80" s="16">
        <v>-583838.87</v>
      </c>
      <c r="N80" s="16"/>
      <c r="O80" s="16">
        <f t="shared" ref="O80:O146" si="34">-E80+G80+I80+K80</f>
        <v>-583838.86999999988</v>
      </c>
      <c r="P80" s="16"/>
      <c r="Q80" s="16">
        <v>107316.36</v>
      </c>
      <c r="R80" s="16"/>
      <c r="S80" s="16">
        <v>344010.81</v>
      </c>
      <c r="T80" s="16"/>
      <c r="U80" s="16">
        <v>225682.4</v>
      </c>
      <c r="V80" s="16"/>
      <c r="W80" s="16">
        <v>1318.69</v>
      </c>
      <c r="X80" s="16"/>
      <c r="Y80" s="16">
        <v>9236.68</v>
      </c>
      <c r="Z80" s="16"/>
      <c r="AA80" s="16">
        <v>36044.07</v>
      </c>
      <c r="AB80" s="16"/>
      <c r="AC80" s="16">
        <v>0</v>
      </c>
      <c r="AD80" s="16"/>
      <c r="AE80" s="16">
        <v>-250</v>
      </c>
      <c r="AF80" s="16"/>
      <c r="AG80" s="16">
        <v>0</v>
      </c>
      <c r="AH80" s="16"/>
      <c r="AI80" s="16">
        <v>0</v>
      </c>
      <c r="AJ80" s="16"/>
      <c r="AK80" s="16">
        <f t="shared" ref="AK80:AK146" si="35">Q80+S80+U80+W80+Y80+AA80+AC80+AE80+AI80+AG80</f>
        <v>723359.00999999989</v>
      </c>
      <c r="AL80" s="16"/>
      <c r="AM80" s="16">
        <f t="shared" ref="AM80:AM146" si="36">AK80+M80</f>
        <v>139520.1399999999</v>
      </c>
      <c r="AN80" s="16"/>
      <c r="AO80" s="16">
        <v>326049.09999999998</v>
      </c>
      <c r="AP80" s="16"/>
      <c r="AQ80" s="16">
        <f t="shared" si="29"/>
        <v>465569.23999999987</v>
      </c>
      <c r="AR80" s="4"/>
      <c r="AS80" s="20">
        <f t="shared" si="30"/>
        <v>0</v>
      </c>
      <c r="AT80" s="20"/>
      <c r="AU80" s="20">
        <f t="shared" si="31"/>
        <v>0</v>
      </c>
      <c r="AV80" s="20"/>
      <c r="AW80" s="20">
        <f t="shared" si="32"/>
        <v>0</v>
      </c>
      <c r="AX80" s="20"/>
      <c r="AY80" s="20">
        <f t="shared" si="33"/>
        <v>0</v>
      </c>
    </row>
    <row r="81" spans="1:51" x14ac:dyDescent="0.2">
      <c r="A81" s="1" t="s">
        <v>717</v>
      </c>
      <c r="C81" s="1" t="s">
        <v>433</v>
      </c>
      <c r="E81" s="16">
        <v>80335.289999999994</v>
      </c>
      <c r="F81" s="16"/>
      <c r="G81" s="16">
        <v>16762.509999999998</v>
      </c>
      <c r="H81" s="16"/>
      <c r="I81" s="16">
        <v>25771.8</v>
      </c>
      <c r="J81" s="16"/>
      <c r="K81" s="16">
        <v>0</v>
      </c>
      <c r="L81" s="16"/>
      <c r="M81" s="16">
        <v>-37800.980000000003</v>
      </c>
      <c r="N81" s="16"/>
      <c r="O81" s="16">
        <f t="shared" si="34"/>
        <v>-37800.979999999996</v>
      </c>
      <c r="P81" s="16"/>
      <c r="Q81" s="16">
        <v>24854.3</v>
      </c>
      <c r="R81" s="16"/>
      <c r="S81" s="16">
        <v>0</v>
      </c>
      <c r="T81" s="16"/>
      <c r="U81" s="16">
        <v>219.8</v>
      </c>
      <c r="V81" s="16"/>
      <c r="W81" s="16">
        <v>0</v>
      </c>
      <c r="X81" s="16"/>
      <c r="Y81" s="16">
        <v>4315.62</v>
      </c>
      <c r="Z81" s="16"/>
      <c r="AA81" s="16">
        <v>9373.25</v>
      </c>
      <c r="AB81" s="16"/>
      <c r="AC81" s="16">
        <v>0</v>
      </c>
      <c r="AD81" s="16"/>
      <c r="AE81" s="16">
        <v>0</v>
      </c>
      <c r="AF81" s="16"/>
      <c r="AG81" s="16">
        <v>5201.8999999999996</v>
      </c>
      <c r="AH81" s="16"/>
      <c r="AI81" s="16">
        <v>0</v>
      </c>
      <c r="AJ81" s="16"/>
      <c r="AK81" s="16">
        <f t="shared" si="35"/>
        <v>43964.87</v>
      </c>
      <c r="AL81" s="16"/>
      <c r="AM81" s="16">
        <f t="shared" si="36"/>
        <v>6163.8899999999994</v>
      </c>
      <c r="AN81" s="16"/>
      <c r="AO81" s="16">
        <v>66042.95</v>
      </c>
      <c r="AP81" s="16"/>
      <c r="AQ81" s="16">
        <f t="shared" si="29"/>
        <v>72206.84</v>
      </c>
      <c r="AR81" s="4"/>
      <c r="AS81" s="20">
        <f t="shared" si="30"/>
        <v>0</v>
      </c>
      <c r="AT81" s="20"/>
      <c r="AU81" s="20">
        <f t="shared" si="31"/>
        <v>0</v>
      </c>
      <c r="AV81" s="20"/>
      <c r="AW81" s="20">
        <f t="shared" si="32"/>
        <v>7.2759576141834259E-12</v>
      </c>
      <c r="AX81" s="20"/>
      <c r="AY81" s="20">
        <f t="shared" si="33"/>
        <v>0</v>
      </c>
    </row>
    <row r="82" spans="1:51" x14ac:dyDescent="0.2">
      <c r="A82" s="4" t="s">
        <v>341</v>
      </c>
      <c r="B82" s="4"/>
      <c r="C82" s="4" t="s">
        <v>342</v>
      </c>
      <c r="D82" s="4"/>
      <c r="E82" s="16">
        <v>4370944</v>
      </c>
      <c r="F82" s="16"/>
      <c r="G82" s="16">
        <v>216099</v>
      </c>
      <c r="H82" s="16"/>
      <c r="I82" s="16">
        <v>25196</v>
      </c>
      <c r="J82" s="16"/>
      <c r="K82" s="16">
        <v>157505</v>
      </c>
      <c r="L82" s="16"/>
      <c r="M82" s="16">
        <f>SUM(G82:K82)-E82</f>
        <v>-3972144</v>
      </c>
      <c r="N82" s="16"/>
      <c r="O82" s="16">
        <f t="shared" si="34"/>
        <v>-3972144</v>
      </c>
      <c r="P82" s="16"/>
      <c r="Q82" s="16">
        <f>227675+83984</f>
        <v>311659</v>
      </c>
      <c r="R82" s="16"/>
      <c r="S82" s="16">
        <v>2372336</v>
      </c>
      <c r="T82" s="16"/>
      <c r="U82" s="16">
        <v>89729</v>
      </c>
      <c r="V82" s="16"/>
      <c r="W82" s="16">
        <v>3122</v>
      </c>
      <c r="X82" s="16"/>
      <c r="Y82" s="16">
        <v>0</v>
      </c>
      <c r="Z82" s="16"/>
      <c r="AA82" s="16">
        <v>341594</v>
      </c>
      <c r="AB82" s="16"/>
      <c r="AC82" s="16">
        <v>0</v>
      </c>
      <c r="AD82" s="16"/>
      <c r="AE82" s="16">
        <v>16000</v>
      </c>
      <c r="AF82" s="16"/>
      <c r="AG82" s="16">
        <v>0</v>
      </c>
      <c r="AH82" s="16"/>
      <c r="AI82" s="16">
        <v>0</v>
      </c>
      <c r="AJ82" s="16"/>
      <c r="AK82" s="16">
        <f t="shared" si="35"/>
        <v>3134440</v>
      </c>
      <c r="AL82" s="16"/>
      <c r="AM82" s="16">
        <f t="shared" si="36"/>
        <v>-837704</v>
      </c>
      <c r="AN82" s="16"/>
      <c r="AO82" s="16">
        <v>3006072</v>
      </c>
      <c r="AP82" s="16"/>
      <c r="AQ82" s="16">
        <f t="shared" si="29"/>
        <v>2168368</v>
      </c>
      <c r="AR82" s="4"/>
      <c r="AS82" s="20">
        <f t="shared" si="30"/>
        <v>0</v>
      </c>
      <c r="AT82" s="20"/>
      <c r="AU82" s="20">
        <f t="shared" si="31"/>
        <v>0</v>
      </c>
      <c r="AV82" s="20"/>
      <c r="AW82" s="20">
        <f t="shared" si="32"/>
        <v>0</v>
      </c>
      <c r="AX82" s="20"/>
      <c r="AY82" s="20">
        <f t="shared" si="33"/>
        <v>0</v>
      </c>
    </row>
    <row r="83" spans="1:51" x14ac:dyDescent="0.2">
      <c r="A83" s="1" t="s">
        <v>772</v>
      </c>
      <c r="C83" s="1" t="s">
        <v>280</v>
      </c>
      <c r="E83" s="16">
        <v>140623.44</v>
      </c>
      <c r="F83" s="16"/>
      <c r="G83" s="16">
        <v>3400.17</v>
      </c>
      <c r="H83" s="16"/>
      <c r="I83" s="16">
        <v>9315.94</v>
      </c>
      <c r="J83" s="16"/>
      <c r="K83" s="16">
        <v>0</v>
      </c>
      <c r="L83" s="16"/>
      <c r="M83" s="16">
        <v>-127907.33</v>
      </c>
      <c r="N83" s="16"/>
      <c r="O83" s="16">
        <f t="shared" si="34"/>
        <v>-127907.32999999999</v>
      </c>
      <c r="P83" s="16"/>
      <c r="Q83" s="16">
        <v>19227.759999999998</v>
      </c>
      <c r="R83" s="16"/>
      <c r="S83" s="16">
        <v>0</v>
      </c>
      <c r="T83" s="16"/>
      <c r="U83" s="16">
        <v>99764.13</v>
      </c>
      <c r="V83" s="16"/>
      <c r="W83" s="16">
        <v>0</v>
      </c>
      <c r="X83" s="16"/>
      <c r="Y83" s="16">
        <v>3110.21</v>
      </c>
      <c r="Z83" s="16"/>
      <c r="AA83" s="16">
        <v>64.78</v>
      </c>
      <c r="AB83" s="16"/>
      <c r="AC83" s="16">
        <v>0</v>
      </c>
      <c r="AD83" s="16"/>
      <c r="AE83" s="16">
        <v>0</v>
      </c>
      <c r="AF83" s="16"/>
      <c r="AG83" s="16">
        <v>0</v>
      </c>
      <c r="AH83" s="16"/>
      <c r="AI83" s="16">
        <v>0</v>
      </c>
      <c r="AJ83" s="16"/>
      <c r="AK83" s="16">
        <f t="shared" si="35"/>
        <v>122166.88</v>
      </c>
      <c r="AL83" s="16"/>
      <c r="AM83" s="16">
        <f t="shared" si="36"/>
        <v>-5740.4499999999971</v>
      </c>
      <c r="AN83" s="16"/>
      <c r="AO83" s="16">
        <v>116610.73</v>
      </c>
      <c r="AP83" s="16"/>
      <c r="AQ83" s="16">
        <f t="shared" si="29"/>
        <v>110870.28</v>
      </c>
      <c r="AR83" s="4"/>
      <c r="AS83" s="20">
        <f t="shared" si="30"/>
        <v>0</v>
      </c>
      <c r="AT83" s="20"/>
      <c r="AU83" s="20">
        <f t="shared" si="31"/>
        <v>0</v>
      </c>
      <c r="AV83" s="20"/>
      <c r="AW83" s="20">
        <f t="shared" si="32"/>
        <v>1.4551915228366852E-11</v>
      </c>
      <c r="AX83" s="20"/>
      <c r="AY83" s="20">
        <f t="shared" si="33"/>
        <v>0</v>
      </c>
    </row>
    <row r="84" spans="1:51" x14ac:dyDescent="0.2">
      <c r="A84" s="4" t="s">
        <v>324</v>
      </c>
      <c r="B84" s="4"/>
      <c r="C84" s="4" t="s">
        <v>325</v>
      </c>
      <c r="D84" s="4"/>
      <c r="E84" s="16">
        <v>859406</v>
      </c>
      <c r="F84" s="16"/>
      <c r="G84" s="16">
        <v>69139</v>
      </c>
      <c r="H84" s="16"/>
      <c r="I84" s="16">
        <v>114339</v>
      </c>
      <c r="J84" s="16"/>
      <c r="K84" s="16">
        <v>3398</v>
      </c>
      <c r="L84" s="16"/>
      <c r="M84" s="16">
        <f>SUM(G84:K84)-E84</f>
        <v>-672530</v>
      </c>
      <c r="N84" s="16"/>
      <c r="O84" s="16">
        <f t="shared" si="34"/>
        <v>-672530</v>
      </c>
      <c r="P84" s="16"/>
      <c r="Q84" s="16">
        <f>116717+87203</f>
        <v>203920</v>
      </c>
      <c r="R84" s="16"/>
      <c r="S84" s="16">
        <f>397713+87412</f>
        <v>485125</v>
      </c>
      <c r="T84" s="16"/>
      <c r="U84" s="16">
        <v>55056</v>
      </c>
      <c r="V84" s="16"/>
      <c r="W84" s="16">
        <v>2248</v>
      </c>
      <c r="X84" s="16"/>
      <c r="Y84" s="16">
        <v>0</v>
      </c>
      <c r="Z84" s="16"/>
      <c r="AA84" s="16">
        <v>34657</v>
      </c>
      <c r="AB84" s="16"/>
      <c r="AC84" s="16">
        <v>0</v>
      </c>
      <c r="AD84" s="16"/>
      <c r="AE84" s="16">
        <v>-6849</v>
      </c>
      <c r="AF84" s="16"/>
      <c r="AG84" s="16">
        <v>0</v>
      </c>
      <c r="AH84" s="16"/>
      <c r="AI84" s="16">
        <v>0</v>
      </c>
      <c r="AJ84" s="16"/>
      <c r="AK84" s="16">
        <f t="shared" si="35"/>
        <v>774157</v>
      </c>
      <c r="AL84" s="16"/>
      <c r="AM84" s="16">
        <f t="shared" si="36"/>
        <v>101627</v>
      </c>
      <c r="AN84" s="16"/>
      <c r="AO84" s="16">
        <v>1136055</v>
      </c>
      <c r="AP84" s="16"/>
      <c r="AQ84" s="16">
        <f t="shared" si="29"/>
        <v>1237682</v>
      </c>
      <c r="AR84" s="4"/>
      <c r="AS84" s="20">
        <f t="shared" si="30"/>
        <v>0</v>
      </c>
      <c r="AT84" s="20"/>
      <c r="AU84" s="20">
        <f t="shared" si="31"/>
        <v>0</v>
      </c>
      <c r="AV84" s="20"/>
      <c r="AW84" s="20">
        <f t="shared" si="32"/>
        <v>0</v>
      </c>
      <c r="AX84" s="20"/>
      <c r="AY84" s="20">
        <f t="shared" si="33"/>
        <v>0</v>
      </c>
    </row>
    <row r="85" spans="1:51" x14ac:dyDescent="0.2">
      <c r="A85" s="1" t="s">
        <v>69</v>
      </c>
      <c r="C85" s="1" t="s">
        <v>329</v>
      </c>
      <c r="E85" s="16">
        <v>1204028.08</v>
      </c>
      <c r="F85" s="16"/>
      <c r="G85" s="16">
        <v>216502.09</v>
      </c>
      <c r="H85" s="16"/>
      <c r="I85" s="16">
        <v>51609.17</v>
      </c>
      <c r="J85" s="16"/>
      <c r="K85" s="16">
        <v>0</v>
      </c>
      <c r="L85" s="16"/>
      <c r="M85" s="16">
        <v>-935916.82</v>
      </c>
      <c r="N85" s="16"/>
      <c r="O85" s="16">
        <f t="shared" si="34"/>
        <v>-935916.82000000007</v>
      </c>
      <c r="P85" s="16"/>
      <c r="Q85" s="16">
        <v>490928.56</v>
      </c>
      <c r="R85" s="16"/>
      <c r="S85" s="16">
        <v>318091.77</v>
      </c>
      <c r="T85" s="16"/>
      <c r="U85" s="16">
        <v>154076.91</v>
      </c>
      <c r="V85" s="16"/>
      <c r="W85" s="16">
        <v>113.32</v>
      </c>
      <c r="X85" s="16"/>
      <c r="Y85" s="16">
        <v>12274.58</v>
      </c>
      <c r="Z85" s="16"/>
      <c r="AA85" s="16">
        <v>23540.75</v>
      </c>
      <c r="AB85" s="16"/>
      <c r="AC85" s="16">
        <v>0</v>
      </c>
      <c r="AD85" s="16"/>
      <c r="AE85" s="16">
        <v>0</v>
      </c>
      <c r="AF85" s="16"/>
      <c r="AG85" s="16">
        <v>0</v>
      </c>
      <c r="AH85" s="16"/>
      <c r="AI85" s="16">
        <v>0</v>
      </c>
      <c r="AJ85" s="16"/>
      <c r="AK85" s="16">
        <f t="shared" si="35"/>
        <v>999025.89</v>
      </c>
      <c r="AL85" s="16"/>
      <c r="AM85" s="16">
        <f t="shared" si="36"/>
        <v>63109.070000000065</v>
      </c>
      <c r="AN85" s="16"/>
      <c r="AO85" s="16">
        <v>483073.92</v>
      </c>
      <c r="AP85" s="16"/>
      <c r="AQ85" s="16">
        <f t="shared" si="29"/>
        <v>546182.99</v>
      </c>
      <c r="AR85" s="4"/>
      <c r="AS85" s="20">
        <f t="shared" si="30"/>
        <v>0</v>
      </c>
      <c r="AT85" s="20"/>
      <c r="AU85" s="20">
        <f t="shared" si="31"/>
        <v>0</v>
      </c>
      <c r="AV85" s="20"/>
      <c r="AW85" s="20">
        <f t="shared" si="32"/>
        <v>-1.1641532182693481E-10</v>
      </c>
      <c r="AX85" s="20"/>
      <c r="AY85" s="20">
        <f t="shared" si="33"/>
        <v>0</v>
      </c>
    </row>
    <row r="86" spans="1:51" x14ac:dyDescent="0.2">
      <c r="A86" s="4" t="s">
        <v>555</v>
      </c>
      <c r="B86" s="4"/>
      <c r="C86" s="4" t="s">
        <v>554</v>
      </c>
      <c r="D86" s="4"/>
      <c r="E86" s="16">
        <v>3677046</v>
      </c>
      <c r="F86" s="16"/>
      <c r="G86" s="16">
        <v>519240</v>
      </c>
      <c r="H86" s="16"/>
      <c r="I86" s="16">
        <v>183103</v>
      </c>
      <c r="J86" s="16"/>
      <c r="K86" s="16">
        <v>27995</v>
      </c>
      <c r="L86" s="16"/>
      <c r="M86" s="16">
        <f>SUM(G86:K86)-E86</f>
        <v>-2946708</v>
      </c>
      <c r="N86" s="16"/>
      <c r="O86" s="16">
        <f t="shared" si="34"/>
        <v>-2946708</v>
      </c>
      <c r="P86" s="16"/>
      <c r="Q86" s="16">
        <f>117797+13040+1676489+314361</f>
        <v>2121687</v>
      </c>
      <c r="R86" s="16"/>
      <c r="S86" s="16">
        <v>0</v>
      </c>
      <c r="T86" s="16"/>
      <c r="U86" s="16">
        <v>281140</v>
      </c>
      <c r="V86" s="16"/>
      <c r="W86" s="16">
        <v>64933</v>
      </c>
      <c r="X86" s="16"/>
      <c r="Y86" s="16">
        <v>0</v>
      </c>
      <c r="Z86" s="16"/>
      <c r="AA86" s="16">
        <v>43057</v>
      </c>
      <c r="AB86" s="16"/>
      <c r="AC86" s="16">
        <v>450000</v>
      </c>
      <c r="AD86" s="16"/>
      <c r="AE86" s="16">
        <v>1211</v>
      </c>
      <c r="AF86" s="16"/>
      <c r="AG86" s="16">
        <v>0</v>
      </c>
      <c r="AH86" s="16"/>
      <c r="AI86" s="16">
        <v>0</v>
      </c>
      <c r="AJ86" s="16"/>
      <c r="AK86" s="16">
        <f t="shared" si="35"/>
        <v>2962028</v>
      </c>
      <c r="AL86" s="16"/>
      <c r="AM86" s="16">
        <f t="shared" si="36"/>
        <v>15320</v>
      </c>
      <c r="AN86" s="16"/>
      <c r="AO86" s="16">
        <v>3169542</v>
      </c>
      <c r="AP86" s="16"/>
      <c r="AQ86" s="16">
        <f t="shared" si="29"/>
        <v>3184862</v>
      </c>
      <c r="AR86" s="4"/>
      <c r="AS86" s="20">
        <f t="shared" si="30"/>
        <v>0</v>
      </c>
      <c r="AT86" s="20"/>
      <c r="AU86" s="20">
        <f t="shared" si="31"/>
        <v>0</v>
      </c>
      <c r="AV86" s="20"/>
      <c r="AW86" s="20">
        <f t="shared" si="32"/>
        <v>0</v>
      </c>
      <c r="AX86" s="20"/>
      <c r="AY86" s="20">
        <f t="shared" si="33"/>
        <v>0</v>
      </c>
    </row>
    <row r="87" spans="1:51" x14ac:dyDescent="0.2">
      <c r="A87" s="4" t="s">
        <v>300</v>
      </c>
      <c r="B87" s="4"/>
      <c r="C87" s="4" t="s">
        <v>293</v>
      </c>
      <c r="D87" s="4"/>
      <c r="E87" s="16">
        <f>1915868+19818+195277+1290767+1197862+1438229+1211962+143154+13999</f>
        <v>7426936</v>
      </c>
      <c r="F87" s="16"/>
      <c r="G87" s="16">
        <f>108747+81620+11000+10376+15054</f>
        <v>226797</v>
      </c>
      <c r="H87" s="16"/>
      <c r="I87" s="16">
        <f>209573+8646</f>
        <v>218219</v>
      </c>
      <c r="J87" s="16"/>
      <c r="K87" s="16">
        <f>30477+733871</f>
        <v>764348</v>
      </c>
      <c r="L87" s="16"/>
      <c r="M87" s="16">
        <f>SUM(G87:K87)-E87</f>
        <v>-6217572</v>
      </c>
      <c r="N87" s="16"/>
      <c r="O87" s="16">
        <f t="shared" si="34"/>
        <v>-6217572</v>
      </c>
      <c r="P87" s="16"/>
      <c r="Q87" s="16">
        <f>1533374+86046</f>
        <v>1619420</v>
      </c>
      <c r="R87" s="16"/>
      <c r="S87" s="16">
        <v>3263604</v>
      </c>
      <c r="T87" s="16"/>
      <c r="U87" s="16">
        <v>564282</v>
      </c>
      <c r="V87" s="16"/>
      <c r="W87" s="16">
        <v>25612</v>
      </c>
      <c r="X87" s="16"/>
      <c r="Y87" s="16">
        <v>0</v>
      </c>
      <c r="Z87" s="16"/>
      <c r="AA87" s="16">
        <f>195187+362502</f>
        <v>557689</v>
      </c>
      <c r="AB87" s="16"/>
      <c r="AC87" s="16">
        <v>0</v>
      </c>
      <c r="AD87" s="16"/>
      <c r="AE87" s="16">
        <v>0</v>
      </c>
      <c r="AF87" s="16"/>
      <c r="AG87" s="16">
        <v>0</v>
      </c>
      <c r="AH87" s="16"/>
      <c r="AI87" s="16">
        <v>0</v>
      </c>
      <c r="AJ87" s="16"/>
      <c r="AK87" s="16">
        <f t="shared" si="35"/>
        <v>6030607</v>
      </c>
      <c r="AL87" s="16"/>
      <c r="AM87" s="16">
        <f t="shared" si="36"/>
        <v>-186965</v>
      </c>
      <c r="AN87" s="16"/>
      <c r="AO87" s="16">
        <v>7121039</v>
      </c>
      <c r="AP87" s="16"/>
      <c r="AQ87" s="16">
        <f t="shared" si="29"/>
        <v>6934074</v>
      </c>
      <c r="AR87" s="4"/>
      <c r="AS87" s="20">
        <f t="shared" si="30"/>
        <v>0</v>
      </c>
      <c r="AT87" s="20"/>
      <c r="AU87" s="20">
        <f t="shared" si="31"/>
        <v>0</v>
      </c>
      <c r="AV87" s="20"/>
      <c r="AW87" s="20">
        <f t="shared" si="32"/>
        <v>0</v>
      </c>
      <c r="AX87" s="20"/>
      <c r="AY87" s="20">
        <f t="shared" si="33"/>
        <v>0</v>
      </c>
    </row>
    <row r="88" spans="1:51" x14ac:dyDescent="0.2">
      <c r="A88" s="4" t="s">
        <v>508</v>
      </c>
      <c r="B88" s="4"/>
      <c r="C88" s="4" t="s">
        <v>502</v>
      </c>
      <c r="D88" s="4"/>
      <c r="E88" s="16">
        <v>1159860</v>
      </c>
      <c r="F88" s="16"/>
      <c r="G88" s="16">
        <f>51563+3656</f>
        <v>55219</v>
      </c>
      <c r="H88" s="16"/>
      <c r="I88" s="16">
        <v>277153</v>
      </c>
      <c r="J88" s="16"/>
      <c r="K88" s="16">
        <v>0</v>
      </c>
      <c r="L88" s="16"/>
      <c r="M88" s="16">
        <f>SUM(G88:K88)-E88</f>
        <v>-827488</v>
      </c>
      <c r="N88" s="16"/>
      <c r="O88" s="16">
        <f t="shared" si="34"/>
        <v>-827488</v>
      </c>
      <c r="P88" s="16"/>
      <c r="Q88" s="16">
        <v>993067</v>
      </c>
      <c r="R88" s="16"/>
      <c r="S88" s="16">
        <v>0</v>
      </c>
      <c r="T88" s="16"/>
      <c r="U88" s="16">
        <v>0</v>
      </c>
      <c r="V88" s="16"/>
      <c r="W88" s="16">
        <v>0</v>
      </c>
      <c r="X88" s="16"/>
      <c r="Y88" s="16">
        <v>0</v>
      </c>
      <c r="Z88" s="16"/>
      <c r="AA88" s="16">
        <v>46606</v>
      </c>
      <c r="AB88" s="16"/>
      <c r="AC88" s="16">
        <v>0</v>
      </c>
      <c r="AD88" s="16"/>
      <c r="AE88" s="16">
        <v>0</v>
      </c>
      <c r="AF88" s="16"/>
      <c r="AG88" s="16">
        <v>0</v>
      </c>
      <c r="AH88" s="16"/>
      <c r="AI88" s="16">
        <v>-12140</v>
      </c>
      <c r="AJ88" s="16"/>
      <c r="AK88" s="16">
        <f t="shared" si="35"/>
        <v>1027533</v>
      </c>
      <c r="AL88" s="16"/>
      <c r="AM88" s="16">
        <f t="shared" si="36"/>
        <v>200045</v>
      </c>
      <c r="AN88" s="16"/>
      <c r="AO88" s="16">
        <v>1161506</v>
      </c>
      <c r="AP88" s="16"/>
      <c r="AQ88" s="16">
        <f t="shared" si="29"/>
        <v>1361551</v>
      </c>
      <c r="AR88" s="4"/>
      <c r="AS88" s="20">
        <f t="shared" si="30"/>
        <v>0</v>
      </c>
      <c r="AT88" s="20"/>
      <c r="AU88" s="20">
        <f t="shared" si="31"/>
        <v>0</v>
      </c>
      <c r="AV88" s="20"/>
      <c r="AW88" s="20">
        <f t="shared" si="32"/>
        <v>0</v>
      </c>
      <c r="AX88" s="20"/>
      <c r="AY88" s="20">
        <f t="shared" si="33"/>
        <v>0</v>
      </c>
    </row>
    <row r="89" spans="1:51" x14ac:dyDescent="0.2">
      <c r="A89" s="1" t="s">
        <v>139</v>
      </c>
      <c r="C89" s="1" t="s">
        <v>430</v>
      </c>
      <c r="E89" s="16">
        <v>68284.899999999994</v>
      </c>
      <c r="F89" s="16"/>
      <c r="G89" s="16">
        <v>0</v>
      </c>
      <c r="H89" s="16"/>
      <c r="I89" s="16">
        <v>25089.79</v>
      </c>
      <c r="J89" s="16"/>
      <c r="K89" s="16">
        <v>857.02</v>
      </c>
      <c r="L89" s="16"/>
      <c r="M89" s="16">
        <v>-42338.09</v>
      </c>
      <c r="N89" s="16"/>
      <c r="O89" s="16">
        <f t="shared" si="34"/>
        <v>-42338.09</v>
      </c>
      <c r="P89" s="16"/>
      <c r="Q89" s="16">
        <v>11286.96</v>
      </c>
      <c r="R89" s="16"/>
      <c r="S89" s="16">
        <v>26498.1</v>
      </c>
      <c r="T89" s="16"/>
      <c r="U89" s="16">
        <v>5857.5</v>
      </c>
      <c r="V89" s="16"/>
      <c r="W89" s="16">
        <v>0</v>
      </c>
      <c r="X89" s="16"/>
      <c r="Y89" s="16">
        <v>0</v>
      </c>
      <c r="Z89" s="16"/>
      <c r="AA89" s="16">
        <v>195.19</v>
      </c>
      <c r="AB89" s="16"/>
      <c r="AC89" s="16">
        <v>0</v>
      </c>
      <c r="AD89" s="16"/>
      <c r="AE89" s="16">
        <v>-16160</v>
      </c>
      <c r="AF89" s="16"/>
      <c r="AG89" s="16">
        <v>0</v>
      </c>
      <c r="AH89" s="16"/>
      <c r="AI89" s="16">
        <v>0</v>
      </c>
      <c r="AJ89" s="16"/>
      <c r="AK89" s="16">
        <f t="shared" si="35"/>
        <v>27677.75</v>
      </c>
      <c r="AL89" s="16"/>
      <c r="AM89" s="16">
        <f t="shared" si="36"/>
        <v>-14660.339999999997</v>
      </c>
      <c r="AN89" s="16"/>
      <c r="AO89" s="16">
        <v>126837.46</v>
      </c>
      <c r="AP89" s="16"/>
      <c r="AQ89" s="16">
        <f t="shared" si="29"/>
        <v>112177.12000000001</v>
      </c>
      <c r="AR89" s="4"/>
      <c r="AS89" s="20">
        <f t="shared" si="30"/>
        <v>0</v>
      </c>
      <c r="AT89" s="20"/>
      <c r="AU89" s="20">
        <f t="shared" si="31"/>
        <v>0</v>
      </c>
      <c r="AV89" s="20"/>
      <c r="AW89" s="20">
        <f t="shared" si="32"/>
        <v>0</v>
      </c>
      <c r="AX89" s="20"/>
      <c r="AY89" s="20">
        <f t="shared" si="33"/>
        <v>0</v>
      </c>
    </row>
    <row r="90" spans="1:51" x14ac:dyDescent="0.2">
      <c r="A90" s="4" t="s">
        <v>259</v>
      </c>
      <c r="B90" s="4"/>
      <c r="C90" s="4" t="s">
        <v>257</v>
      </c>
      <c r="D90" s="4"/>
      <c r="E90" s="16">
        <v>3983287</v>
      </c>
      <c r="F90" s="16"/>
      <c r="G90" s="16">
        <v>105357</v>
      </c>
      <c r="H90" s="16"/>
      <c r="I90" s="16">
        <v>350766</v>
      </c>
      <c r="J90" s="16"/>
      <c r="K90" s="16">
        <v>0</v>
      </c>
      <c r="L90" s="16"/>
      <c r="M90" s="16">
        <f>SUM(G90:K90)-E90</f>
        <v>-3527164</v>
      </c>
      <c r="N90" s="16"/>
      <c r="O90" s="16">
        <f t="shared" si="34"/>
        <v>-3527164</v>
      </c>
      <c r="P90" s="16"/>
      <c r="Q90" s="16">
        <v>238658</v>
      </c>
      <c r="R90" s="16"/>
      <c r="S90" s="16">
        <v>2940501</v>
      </c>
      <c r="T90" s="16"/>
      <c r="U90" s="16">
        <v>251304</v>
      </c>
      <c r="V90" s="16"/>
      <c r="W90" s="16">
        <v>21460</v>
      </c>
      <c r="X90" s="16"/>
      <c r="Y90" s="16">
        <v>0</v>
      </c>
      <c r="Z90" s="16"/>
      <c r="AA90" s="16">
        <f>100000+58936+3164</f>
        <v>162100</v>
      </c>
      <c r="AB90" s="16"/>
      <c r="AC90" s="16">
        <v>263413</v>
      </c>
      <c r="AD90" s="16"/>
      <c r="AE90" s="16">
        <v>-225000</v>
      </c>
      <c r="AF90" s="16"/>
      <c r="AG90" s="16">
        <v>0</v>
      </c>
      <c r="AH90" s="16"/>
      <c r="AI90" s="16">
        <v>0</v>
      </c>
      <c r="AJ90" s="16"/>
      <c r="AK90" s="16">
        <f t="shared" si="35"/>
        <v>3652436</v>
      </c>
      <c r="AL90" s="16"/>
      <c r="AM90" s="16">
        <f t="shared" si="36"/>
        <v>125272</v>
      </c>
      <c r="AN90" s="16"/>
      <c r="AO90" s="16">
        <v>1898611</v>
      </c>
      <c r="AP90" s="16"/>
      <c r="AQ90" s="16">
        <f t="shared" si="29"/>
        <v>2023883</v>
      </c>
      <c r="AR90" s="4"/>
      <c r="AS90" s="20">
        <f t="shared" si="30"/>
        <v>0</v>
      </c>
      <c r="AT90" s="20"/>
      <c r="AU90" s="20">
        <f t="shared" si="31"/>
        <v>0</v>
      </c>
      <c r="AV90" s="20"/>
      <c r="AW90" s="20">
        <f t="shared" si="32"/>
        <v>0</v>
      </c>
      <c r="AX90" s="20"/>
      <c r="AY90" s="20">
        <f t="shared" si="33"/>
        <v>0</v>
      </c>
    </row>
    <row r="91" spans="1:51" x14ac:dyDescent="0.2">
      <c r="A91" s="1" t="s">
        <v>174</v>
      </c>
      <c r="C91" s="1" t="s">
        <v>467</v>
      </c>
      <c r="E91" s="16">
        <v>133797.04</v>
      </c>
      <c r="F91" s="16"/>
      <c r="G91" s="16">
        <v>14071.17</v>
      </c>
      <c r="H91" s="16"/>
      <c r="I91" s="16">
        <v>42487.05</v>
      </c>
      <c r="J91" s="16"/>
      <c r="K91" s="16">
        <v>0</v>
      </c>
      <c r="L91" s="16"/>
      <c r="M91" s="16">
        <v>-77238.820000000007</v>
      </c>
      <c r="N91" s="16"/>
      <c r="O91" s="16">
        <f t="shared" si="34"/>
        <v>-77238.820000000007</v>
      </c>
      <c r="P91" s="16"/>
      <c r="Q91" s="16">
        <v>84775.4</v>
      </c>
      <c r="R91" s="16"/>
      <c r="S91" s="16">
        <v>0</v>
      </c>
      <c r="T91" s="16"/>
      <c r="U91" s="16">
        <v>18694.009999999998</v>
      </c>
      <c r="V91" s="16"/>
      <c r="W91" s="16">
        <v>1952.77</v>
      </c>
      <c r="X91" s="16"/>
      <c r="Y91" s="16">
        <v>1674.08</v>
      </c>
      <c r="Z91" s="16"/>
      <c r="AA91" s="16">
        <v>819.95</v>
      </c>
      <c r="AB91" s="16"/>
      <c r="AC91" s="16">
        <v>0</v>
      </c>
      <c r="AD91" s="16"/>
      <c r="AE91" s="16">
        <v>0</v>
      </c>
      <c r="AF91" s="16"/>
      <c r="AG91" s="16">
        <v>0</v>
      </c>
      <c r="AH91" s="16"/>
      <c r="AI91" s="16">
        <v>1160.6400000000001</v>
      </c>
      <c r="AJ91" s="16"/>
      <c r="AK91" s="16">
        <f t="shared" si="35"/>
        <v>109076.84999999999</v>
      </c>
      <c r="AL91" s="16"/>
      <c r="AM91" s="16">
        <f t="shared" si="36"/>
        <v>31838.029999999984</v>
      </c>
      <c r="AN91" s="16"/>
      <c r="AO91" s="16">
        <v>241913.01</v>
      </c>
      <c r="AP91" s="16"/>
      <c r="AQ91" s="16">
        <f t="shared" si="29"/>
        <v>273751.03999999998</v>
      </c>
      <c r="AR91" s="4"/>
      <c r="AS91" s="20">
        <f t="shared" si="30"/>
        <v>0</v>
      </c>
      <c r="AT91" s="20"/>
      <c r="AU91" s="20">
        <f t="shared" si="31"/>
        <v>0</v>
      </c>
      <c r="AV91" s="20"/>
      <c r="AW91" s="20">
        <f t="shared" si="32"/>
        <v>0</v>
      </c>
      <c r="AX91" s="20"/>
      <c r="AY91" s="20">
        <f t="shared" si="33"/>
        <v>0</v>
      </c>
    </row>
    <row r="92" spans="1:51" x14ac:dyDescent="0.2">
      <c r="A92" s="1" t="s">
        <v>12</v>
      </c>
      <c r="C92" s="1" t="s">
        <v>257</v>
      </c>
      <c r="E92" s="16">
        <v>448148.95</v>
      </c>
      <c r="F92" s="16"/>
      <c r="G92" s="16">
        <v>98902.18</v>
      </c>
      <c r="H92" s="16"/>
      <c r="I92" s="16">
        <v>43647.45</v>
      </c>
      <c r="J92" s="16"/>
      <c r="K92" s="16">
        <v>7898.8</v>
      </c>
      <c r="L92" s="16"/>
      <c r="M92" s="16">
        <v>-297700.52</v>
      </c>
      <c r="N92" s="16"/>
      <c r="O92" s="16">
        <f t="shared" si="34"/>
        <v>-297700.52</v>
      </c>
      <c r="P92" s="16"/>
      <c r="Q92" s="16">
        <v>83050.64</v>
      </c>
      <c r="R92" s="16"/>
      <c r="S92" s="16">
        <v>300570.06</v>
      </c>
      <c r="T92" s="16"/>
      <c r="U92" s="16">
        <v>50894.41</v>
      </c>
      <c r="V92" s="16"/>
      <c r="W92" s="16">
        <v>4266.8900000000003</v>
      </c>
      <c r="X92" s="16"/>
      <c r="Y92" s="16">
        <v>0</v>
      </c>
      <c r="Z92" s="16"/>
      <c r="AA92" s="16">
        <v>30207.29</v>
      </c>
      <c r="AB92" s="16"/>
      <c r="AC92" s="16">
        <v>0</v>
      </c>
      <c r="AD92" s="16"/>
      <c r="AE92" s="16">
        <v>-32569.07</v>
      </c>
      <c r="AF92" s="16"/>
      <c r="AG92" s="16">
        <v>0</v>
      </c>
      <c r="AH92" s="16"/>
      <c r="AI92" s="16">
        <v>0</v>
      </c>
      <c r="AJ92" s="16"/>
      <c r="AK92" s="16">
        <f t="shared" si="35"/>
        <v>436420.22</v>
      </c>
      <c r="AL92" s="16"/>
      <c r="AM92" s="16">
        <f t="shared" si="36"/>
        <v>138719.69999999995</v>
      </c>
      <c r="AN92" s="16"/>
      <c r="AO92" s="16">
        <v>721065.49</v>
      </c>
      <c r="AP92" s="16"/>
      <c r="AQ92" s="16">
        <f t="shared" si="29"/>
        <v>859785.19</v>
      </c>
      <c r="AR92" s="4"/>
      <c r="AS92" s="20">
        <f t="shared" si="30"/>
        <v>0</v>
      </c>
      <c r="AT92" s="20"/>
      <c r="AU92" s="20">
        <f t="shared" si="31"/>
        <v>0</v>
      </c>
      <c r="AV92" s="20"/>
      <c r="AW92" s="20">
        <f t="shared" si="32"/>
        <v>0</v>
      </c>
      <c r="AX92" s="20"/>
      <c r="AY92" s="20">
        <f t="shared" si="33"/>
        <v>0</v>
      </c>
    </row>
    <row r="93" spans="1:51" x14ac:dyDescent="0.2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4"/>
      <c r="AS93" s="20"/>
      <c r="AT93" s="20"/>
      <c r="AU93" s="20"/>
      <c r="AV93" s="20"/>
      <c r="AW93" s="20"/>
      <c r="AX93" s="20"/>
      <c r="AY93" s="20"/>
    </row>
    <row r="94" spans="1:51" x14ac:dyDescent="0.2"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93" t="s">
        <v>733</v>
      </c>
      <c r="AR94" s="4"/>
      <c r="AS94" s="20"/>
      <c r="AT94" s="20"/>
      <c r="AU94" s="20"/>
      <c r="AV94" s="20"/>
      <c r="AW94" s="20"/>
      <c r="AX94" s="20"/>
      <c r="AY94" s="20"/>
    </row>
    <row r="95" spans="1:51" x14ac:dyDescent="0.2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4"/>
      <c r="AS95" s="20"/>
      <c r="AT95" s="20"/>
      <c r="AU95" s="20"/>
      <c r="AV95" s="20"/>
      <c r="AW95" s="20"/>
      <c r="AX95" s="20"/>
      <c r="AY95" s="20"/>
    </row>
    <row r="96" spans="1:51" x14ac:dyDescent="0.2">
      <c r="A96" s="1" t="s">
        <v>834</v>
      </c>
      <c r="C96" s="1" t="s">
        <v>464</v>
      </c>
      <c r="E96" s="50">
        <v>2046267.02</v>
      </c>
      <c r="F96" s="50"/>
      <c r="G96" s="50">
        <v>587758.46</v>
      </c>
      <c r="H96" s="50"/>
      <c r="I96" s="50">
        <v>218892.69</v>
      </c>
      <c r="J96" s="50"/>
      <c r="K96" s="50">
        <v>0</v>
      </c>
      <c r="L96" s="50"/>
      <c r="M96" s="50">
        <v>-1239615.8700000001</v>
      </c>
      <c r="N96" s="50"/>
      <c r="O96" s="50">
        <f t="shared" si="34"/>
        <v>-1239615.8700000001</v>
      </c>
      <c r="P96" s="50"/>
      <c r="Q96" s="50">
        <v>179490.38</v>
      </c>
      <c r="R96" s="50"/>
      <c r="S96" s="50">
        <v>748862.89</v>
      </c>
      <c r="T96" s="50"/>
      <c r="U96" s="50">
        <v>71958.27</v>
      </c>
      <c r="V96" s="50"/>
      <c r="W96" s="50">
        <v>2417.2199999999998</v>
      </c>
      <c r="X96" s="50"/>
      <c r="Y96" s="50">
        <v>28125.040000000001</v>
      </c>
      <c r="Z96" s="50"/>
      <c r="AA96" s="50">
        <v>130665.27</v>
      </c>
      <c r="AB96" s="50"/>
      <c r="AC96" s="50">
        <v>0</v>
      </c>
      <c r="AD96" s="50"/>
      <c r="AE96" s="50">
        <v>0</v>
      </c>
      <c r="AF96" s="50"/>
      <c r="AG96" s="50">
        <v>0</v>
      </c>
      <c r="AH96" s="50"/>
      <c r="AI96" s="50">
        <v>0</v>
      </c>
      <c r="AJ96" s="50"/>
      <c r="AK96" s="50">
        <f t="shared" si="35"/>
        <v>1161519.07</v>
      </c>
      <c r="AL96" s="50"/>
      <c r="AM96" s="50">
        <f t="shared" si="36"/>
        <v>-78096.800000000047</v>
      </c>
      <c r="AN96" s="50"/>
      <c r="AO96" s="50">
        <v>-377777.5</v>
      </c>
      <c r="AP96" s="16"/>
      <c r="AQ96" s="50">
        <f t="shared" si="29"/>
        <v>-455874.30000000005</v>
      </c>
      <c r="AR96" s="4"/>
      <c r="AS96" s="20">
        <f t="shared" si="30"/>
        <v>0</v>
      </c>
      <c r="AT96" s="20"/>
      <c r="AU96" s="20">
        <f t="shared" si="31"/>
        <v>0</v>
      </c>
      <c r="AV96" s="20"/>
      <c r="AW96" s="20">
        <f t="shared" si="32"/>
        <v>0</v>
      </c>
      <c r="AX96" s="20"/>
      <c r="AY96" s="20">
        <f t="shared" si="33"/>
        <v>0</v>
      </c>
    </row>
    <row r="97" spans="1:51" x14ac:dyDescent="0.2">
      <c r="A97" s="1" t="s">
        <v>387</v>
      </c>
      <c r="C97" s="1" t="s">
        <v>386</v>
      </c>
      <c r="E97" s="16">
        <v>0</v>
      </c>
      <c r="F97" s="16"/>
      <c r="G97" s="16">
        <v>477390.13</v>
      </c>
      <c r="H97" s="16"/>
      <c r="I97" s="16">
        <v>141813.81</v>
      </c>
      <c r="J97" s="16"/>
      <c r="K97" s="16">
        <v>0</v>
      </c>
      <c r="L97" s="16"/>
      <c r="M97" s="16">
        <v>619203.93999999994</v>
      </c>
      <c r="N97" s="16"/>
      <c r="O97" s="16">
        <f t="shared" si="34"/>
        <v>619203.93999999994</v>
      </c>
      <c r="P97" s="16"/>
      <c r="Q97" s="16">
        <v>173300.17</v>
      </c>
      <c r="R97" s="16"/>
      <c r="S97" s="16">
        <v>548419.26</v>
      </c>
      <c r="T97" s="16"/>
      <c r="U97" s="16">
        <v>0</v>
      </c>
      <c r="V97" s="16"/>
      <c r="W97" s="16">
        <v>5709.94</v>
      </c>
      <c r="X97" s="16"/>
      <c r="Y97" s="16">
        <v>2331.83</v>
      </c>
      <c r="Z97" s="16"/>
      <c r="AA97" s="16">
        <v>288690.59999999998</v>
      </c>
      <c r="AB97" s="16"/>
      <c r="AC97" s="16">
        <v>0</v>
      </c>
      <c r="AD97" s="16"/>
      <c r="AE97" s="16">
        <v>762637.6</v>
      </c>
      <c r="AF97" s="16"/>
      <c r="AG97" s="16">
        <v>0</v>
      </c>
      <c r="AH97" s="16"/>
      <c r="AI97" s="16">
        <v>9081.7199999999993</v>
      </c>
      <c r="AJ97" s="16"/>
      <c r="AK97" s="16">
        <f t="shared" si="35"/>
        <v>1790171.1199999999</v>
      </c>
      <c r="AL97" s="16"/>
      <c r="AM97" s="16">
        <f t="shared" si="36"/>
        <v>2409375.0599999996</v>
      </c>
      <c r="AN97" s="16"/>
      <c r="AO97" s="16">
        <v>991711.4</v>
      </c>
      <c r="AP97" s="16"/>
      <c r="AQ97" s="16">
        <f t="shared" si="29"/>
        <v>3401086.4599999995</v>
      </c>
      <c r="AR97" s="4"/>
      <c r="AS97" s="20">
        <f t="shared" si="30"/>
        <v>0</v>
      </c>
      <c r="AT97" s="20"/>
      <c r="AU97" s="20">
        <f t="shared" si="31"/>
        <v>0</v>
      </c>
      <c r="AV97" s="20"/>
      <c r="AW97" s="20">
        <f t="shared" si="32"/>
        <v>0</v>
      </c>
      <c r="AX97" s="20"/>
      <c r="AY97" s="20">
        <f t="shared" si="33"/>
        <v>0</v>
      </c>
    </row>
    <row r="98" spans="1:51" x14ac:dyDescent="0.2">
      <c r="A98" s="1" t="s">
        <v>852</v>
      </c>
      <c r="C98" s="1" t="s">
        <v>429</v>
      </c>
      <c r="E98" s="16">
        <v>832328.36</v>
      </c>
      <c r="F98" s="16"/>
      <c r="G98" s="16">
        <v>87406.23</v>
      </c>
      <c r="H98" s="16"/>
      <c r="I98" s="16">
        <v>142879.07</v>
      </c>
      <c r="J98" s="16"/>
      <c r="K98" s="16">
        <v>0</v>
      </c>
      <c r="L98" s="16"/>
      <c r="M98" s="16">
        <v>-602043.06000000006</v>
      </c>
      <c r="N98" s="16"/>
      <c r="O98" s="16">
        <f t="shared" si="34"/>
        <v>-602043.06000000006</v>
      </c>
      <c r="P98" s="16"/>
      <c r="Q98" s="16">
        <v>391531.64</v>
      </c>
      <c r="R98" s="16"/>
      <c r="S98" s="16">
        <v>0</v>
      </c>
      <c r="T98" s="16"/>
      <c r="U98" s="16">
        <v>91795.44</v>
      </c>
      <c r="V98" s="16"/>
      <c r="W98" s="16">
        <v>89.59</v>
      </c>
      <c r="X98" s="16"/>
      <c r="Y98" s="16">
        <v>0</v>
      </c>
      <c r="Z98" s="16"/>
      <c r="AA98" s="16">
        <v>114939.1</v>
      </c>
      <c r="AB98" s="16"/>
      <c r="AC98" s="16">
        <v>0</v>
      </c>
      <c r="AD98" s="16"/>
      <c r="AE98" s="16">
        <v>0</v>
      </c>
      <c r="AF98" s="16"/>
      <c r="AG98" s="16">
        <v>0</v>
      </c>
      <c r="AH98" s="16"/>
      <c r="AI98" s="16">
        <v>0</v>
      </c>
      <c r="AJ98" s="16"/>
      <c r="AK98" s="16">
        <f t="shared" si="35"/>
        <v>598355.77</v>
      </c>
      <c r="AL98" s="16"/>
      <c r="AM98" s="16">
        <f t="shared" si="36"/>
        <v>-3687.2900000000373</v>
      </c>
      <c r="AN98" s="16"/>
      <c r="AO98" s="16">
        <v>568159.28</v>
      </c>
      <c r="AP98" s="16"/>
      <c r="AQ98" s="16">
        <f t="shared" si="29"/>
        <v>564471.99</v>
      </c>
      <c r="AR98" s="4"/>
      <c r="AS98" s="20">
        <f t="shared" si="30"/>
        <v>0</v>
      </c>
      <c r="AT98" s="20"/>
      <c r="AU98" s="20">
        <f t="shared" si="31"/>
        <v>0</v>
      </c>
      <c r="AV98" s="20"/>
      <c r="AW98" s="20">
        <f t="shared" si="32"/>
        <v>0</v>
      </c>
      <c r="AX98" s="20"/>
      <c r="AY98" s="20">
        <f t="shared" si="33"/>
        <v>0</v>
      </c>
    </row>
    <row r="99" spans="1:51" x14ac:dyDescent="0.2">
      <c r="A99" s="1" t="s">
        <v>724</v>
      </c>
      <c r="C99" s="1" t="s">
        <v>283</v>
      </c>
      <c r="E99" s="16">
        <v>643076.02</v>
      </c>
      <c r="F99" s="16"/>
      <c r="G99" s="16">
        <v>128683.65</v>
      </c>
      <c r="H99" s="16"/>
      <c r="I99" s="16">
        <v>56503.7</v>
      </c>
      <c r="J99" s="16"/>
      <c r="K99" s="16">
        <v>62463</v>
      </c>
      <c r="L99" s="16"/>
      <c r="M99" s="16">
        <v>-395425.67</v>
      </c>
      <c r="N99" s="16"/>
      <c r="O99" s="16">
        <f t="shared" si="34"/>
        <v>-395425.67</v>
      </c>
      <c r="P99" s="16"/>
      <c r="Q99" s="16">
        <v>71928.460000000006</v>
      </c>
      <c r="R99" s="16"/>
      <c r="S99" s="16">
        <v>0</v>
      </c>
      <c r="T99" s="16"/>
      <c r="U99" s="16">
        <v>33213.81</v>
      </c>
      <c r="V99" s="16"/>
      <c r="W99" s="16">
        <v>1958.23</v>
      </c>
      <c r="X99" s="16"/>
      <c r="Y99" s="16">
        <v>19405.88</v>
      </c>
      <c r="Z99" s="16"/>
      <c r="AA99" s="16">
        <v>102499.1</v>
      </c>
      <c r="AB99" s="16"/>
      <c r="AC99" s="16">
        <v>0</v>
      </c>
      <c r="AD99" s="16"/>
      <c r="AE99" s="16">
        <v>133677.91</v>
      </c>
      <c r="AF99" s="16"/>
      <c r="AG99" s="16">
        <v>0</v>
      </c>
      <c r="AH99" s="16"/>
      <c r="AI99" s="16">
        <v>0</v>
      </c>
      <c r="AJ99" s="16"/>
      <c r="AK99" s="16">
        <f t="shared" si="35"/>
        <v>362683.39</v>
      </c>
      <c r="AL99" s="16"/>
      <c r="AM99" s="16">
        <f t="shared" si="36"/>
        <v>-32742.27999999997</v>
      </c>
      <c r="AN99" s="16"/>
      <c r="AO99" s="16">
        <v>291668.73</v>
      </c>
      <c r="AP99" s="16"/>
      <c r="AQ99" s="16">
        <f t="shared" si="29"/>
        <v>258926.45</v>
      </c>
      <c r="AR99" s="4"/>
      <c r="AS99" s="20">
        <f t="shared" si="30"/>
        <v>0</v>
      </c>
      <c r="AT99" s="20"/>
      <c r="AU99" s="20">
        <f t="shared" si="31"/>
        <v>0</v>
      </c>
      <c r="AV99" s="20"/>
      <c r="AW99" s="20">
        <f t="shared" si="32"/>
        <v>0</v>
      </c>
      <c r="AX99" s="20"/>
      <c r="AY99" s="20">
        <f t="shared" si="33"/>
        <v>0</v>
      </c>
    </row>
    <row r="100" spans="1:51" x14ac:dyDescent="0.2">
      <c r="A100" s="4" t="s">
        <v>525</v>
      </c>
      <c r="B100" s="4"/>
      <c r="C100" s="4" t="s">
        <v>696</v>
      </c>
      <c r="D100" s="4"/>
      <c r="E100" s="16">
        <v>1123740</v>
      </c>
      <c r="F100" s="16"/>
      <c r="G100" s="16">
        <v>77226</v>
      </c>
      <c r="H100" s="16"/>
      <c r="I100" s="16">
        <v>214262</v>
      </c>
      <c r="J100" s="16"/>
      <c r="K100" s="16">
        <v>36277</v>
      </c>
      <c r="L100" s="16"/>
      <c r="M100" s="16">
        <f>SUM(G100:K100)-E100</f>
        <v>-795975</v>
      </c>
      <c r="N100" s="16"/>
      <c r="O100" s="16">
        <f t="shared" si="34"/>
        <v>-795975</v>
      </c>
      <c r="P100" s="16"/>
      <c r="Q100" s="16">
        <f>165949+5697</f>
        <v>171646</v>
      </c>
      <c r="R100" s="16"/>
      <c r="S100" s="16">
        <f>753483+376741</f>
        <v>1130224</v>
      </c>
      <c r="T100" s="16"/>
      <c r="U100" s="16">
        <v>312958</v>
      </c>
      <c r="V100" s="16"/>
      <c r="W100" s="16">
        <v>800</v>
      </c>
      <c r="X100" s="16"/>
      <c r="Y100" s="16">
        <v>0</v>
      </c>
      <c r="Z100" s="16"/>
      <c r="AA100" s="16">
        <v>61026</v>
      </c>
      <c r="AB100" s="16"/>
      <c r="AC100" s="16">
        <v>0</v>
      </c>
      <c r="AD100" s="16"/>
      <c r="AE100" s="16">
        <v>0</v>
      </c>
      <c r="AF100" s="16"/>
      <c r="AG100" s="16">
        <v>0</v>
      </c>
      <c r="AH100" s="16"/>
      <c r="AI100" s="16">
        <v>0</v>
      </c>
      <c r="AJ100" s="16"/>
      <c r="AK100" s="16">
        <f t="shared" si="35"/>
        <v>1676654</v>
      </c>
      <c r="AL100" s="16"/>
      <c r="AM100" s="16">
        <f t="shared" si="36"/>
        <v>880679</v>
      </c>
      <c r="AN100" s="16"/>
      <c r="AO100" s="16">
        <v>509440</v>
      </c>
      <c r="AP100" s="16"/>
      <c r="AQ100" s="16">
        <f t="shared" si="29"/>
        <v>1390119</v>
      </c>
      <c r="AR100" s="4"/>
      <c r="AS100" s="20">
        <f t="shared" si="30"/>
        <v>0</v>
      </c>
      <c r="AT100" s="20"/>
      <c r="AU100" s="20">
        <f t="shared" si="31"/>
        <v>0</v>
      </c>
      <c r="AV100" s="20"/>
      <c r="AW100" s="20">
        <f t="shared" si="32"/>
        <v>0</v>
      </c>
      <c r="AX100" s="20"/>
      <c r="AY100" s="20">
        <f t="shared" si="33"/>
        <v>0</v>
      </c>
    </row>
    <row r="101" spans="1:51" x14ac:dyDescent="0.2">
      <c r="A101" s="1" t="s">
        <v>91</v>
      </c>
      <c r="C101" s="1" t="s">
        <v>351</v>
      </c>
      <c r="E101" s="16">
        <v>2973176.92</v>
      </c>
      <c r="F101" s="16"/>
      <c r="G101" s="16">
        <v>183781</v>
      </c>
      <c r="H101" s="16"/>
      <c r="I101" s="16">
        <v>150187.03</v>
      </c>
      <c r="J101" s="16"/>
      <c r="K101" s="16">
        <v>0</v>
      </c>
      <c r="L101" s="16"/>
      <c r="M101" s="16">
        <v>-2639208.89</v>
      </c>
      <c r="N101" s="16"/>
      <c r="O101" s="16">
        <f t="shared" si="34"/>
        <v>-2639208.89</v>
      </c>
      <c r="P101" s="16"/>
      <c r="Q101" s="16">
        <v>221690.78</v>
      </c>
      <c r="R101" s="16"/>
      <c r="S101" s="16">
        <v>1524148.98</v>
      </c>
      <c r="T101" s="16"/>
      <c r="U101" s="16">
        <v>256753.52</v>
      </c>
      <c r="V101" s="16"/>
      <c r="W101" s="16">
        <v>0</v>
      </c>
      <c r="X101" s="16"/>
      <c r="Y101" s="16">
        <v>39319.599999999999</v>
      </c>
      <c r="Z101" s="16"/>
      <c r="AA101" s="16">
        <v>97889.86</v>
      </c>
      <c r="AB101" s="16"/>
      <c r="AC101" s="16">
        <v>0</v>
      </c>
      <c r="AD101" s="16"/>
      <c r="AE101" s="16">
        <v>0</v>
      </c>
      <c r="AF101" s="16"/>
      <c r="AG101" s="16">
        <v>0</v>
      </c>
      <c r="AH101" s="16"/>
      <c r="AI101" s="16">
        <v>0</v>
      </c>
      <c r="AJ101" s="16"/>
      <c r="AK101" s="16">
        <f t="shared" si="35"/>
        <v>2139802.7400000002</v>
      </c>
      <c r="AL101" s="16"/>
      <c r="AM101" s="16">
        <f t="shared" si="36"/>
        <v>-499406.14999999991</v>
      </c>
      <c r="AN101" s="16"/>
      <c r="AO101" s="16">
        <v>2116436.21</v>
      </c>
      <c r="AP101" s="16"/>
      <c r="AQ101" s="16">
        <f t="shared" si="29"/>
        <v>1617030.06</v>
      </c>
      <c r="AR101" s="4"/>
      <c r="AS101" s="20">
        <f t="shared" si="30"/>
        <v>0</v>
      </c>
      <c r="AT101" s="20"/>
      <c r="AU101" s="20">
        <f t="shared" si="31"/>
        <v>0</v>
      </c>
      <c r="AV101" s="20"/>
      <c r="AW101" s="20">
        <f t="shared" si="32"/>
        <v>0</v>
      </c>
      <c r="AX101" s="20"/>
      <c r="AY101" s="20">
        <f t="shared" si="33"/>
        <v>0</v>
      </c>
    </row>
    <row r="102" spans="1:51" x14ac:dyDescent="0.2">
      <c r="A102" s="1" t="s">
        <v>92</v>
      </c>
      <c r="C102" s="1" t="s">
        <v>351</v>
      </c>
      <c r="E102" s="16">
        <v>471188.29</v>
      </c>
      <c r="F102" s="16"/>
      <c r="G102" s="16">
        <v>8210.19</v>
      </c>
      <c r="H102" s="16"/>
      <c r="I102" s="16">
        <v>72790.84</v>
      </c>
      <c r="J102" s="16"/>
      <c r="K102" s="16">
        <v>88420</v>
      </c>
      <c r="L102" s="16"/>
      <c r="M102" s="16">
        <v>-301767.26</v>
      </c>
      <c r="N102" s="16"/>
      <c r="O102" s="16">
        <f t="shared" si="34"/>
        <v>-301767.26</v>
      </c>
      <c r="P102" s="16"/>
      <c r="Q102" s="16">
        <v>352961.7</v>
      </c>
      <c r="R102" s="16"/>
      <c r="S102" s="16">
        <v>0</v>
      </c>
      <c r="T102" s="16"/>
      <c r="U102" s="16">
        <v>17686.189999999999</v>
      </c>
      <c r="V102" s="16"/>
      <c r="W102" s="16">
        <v>0</v>
      </c>
      <c r="X102" s="16"/>
      <c r="Y102" s="16">
        <v>18678.73</v>
      </c>
      <c r="Z102" s="16"/>
      <c r="AA102" s="16">
        <v>3084.06</v>
      </c>
      <c r="AB102" s="16"/>
      <c r="AC102" s="16">
        <v>0</v>
      </c>
      <c r="AD102" s="16"/>
      <c r="AE102" s="16">
        <v>0</v>
      </c>
      <c r="AF102" s="16"/>
      <c r="AG102" s="16">
        <v>0</v>
      </c>
      <c r="AH102" s="16"/>
      <c r="AI102" s="16">
        <v>0</v>
      </c>
      <c r="AJ102" s="16"/>
      <c r="AK102" s="16">
        <f t="shared" si="35"/>
        <v>392410.68</v>
      </c>
      <c r="AL102" s="16"/>
      <c r="AM102" s="16">
        <f t="shared" si="36"/>
        <v>90643.419999999984</v>
      </c>
      <c r="AN102" s="16"/>
      <c r="AO102" s="16">
        <v>871910.87</v>
      </c>
      <c r="AP102" s="16"/>
      <c r="AQ102" s="16">
        <f t="shared" si="29"/>
        <v>962554.29</v>
      </c>
      <c r="AR102" s="4"/>
      <c r="AS102" s="20">
        <f t="shared" si="30"/>
        <v>0</v>
      </c>
      <c r="AT102" s="20"/>
      <c r="AU102" s="20">
        <f t="shared" si="31"/>
        <v>0</v>
      </c>
      <c r="AV102" s="20"/>
      <c r="AW102" s="20">
        <f t="shared" si="32"/>
        <v>0</v>
      </c>
      <c r="AX102" s="20"/>
      <c r="AY102" s="20">
        <f t="shared" si="33"/>
        <v>0</v>
      </c>
    </row>
    <row r="103" spans="1:51" x14ac:dyDescent="0.2">
      <c r="A103" s="4" t="s">
        <v>458</v>
      </c>
      <c r="B103" s="4"/>
      <c r="C103" s="4" t="s">
        <v>692</v>
      </c>
      <c r="D103" s="4"/>
      <c r="E103" s="16">
        <v>1632393</v>
      </c>
      <c r="F103" s="16"/>
      <c r="G103" s="16">
        <v>86323</v>
      </c>
      <c r="H103" s="16"/>
      <c r="I103" s="16">
        <v>169218</v>
      </c>
      <c r="J103" s="16"/>
      <c r="K103" s="16">
        <v>0</v>
      </c>
      <c r="L103" s="16"/>
      <c r="M103" s="16">
        <f>SUM(G103:K103)-E103</f>
        <v>-1376852</v>
      </c>
      <c r="N103" s="16"/>
      <c r="O103" s="16">
        <f t="shared" si="34"/>
        <v>-1376852</v>
      </c>
      <c r="P103" s="16"/>
      <c r="Q103" s="16">
        <f>125534+94856</f>
        <v>220390</v>
      </c>
      <c r="R103" s="16"/>
      <c r="S103" s="16">
        <v>640876</v>
      </c>
      <c r="T103" s="16"/>
      <c r="U103" s="16">
        <v>93925</v>
      </c>
      <c r="V103" s="16"/>
      <c r="W103" s="16">
        <v>31180</v>
      </c>
      <c r="X103" s="16"/>
      <c r="Y103" s="16">
        <v>19970</v>
      </c>
      <c r="Z103" s="16"/>
      <c r="AA103" s="16">
        <v>144846</v>
      </c>
      <c r="AB103" s="16"/>
      <c r="AC103" s="16">
        <v>0</v>
      </c>
      <c r="AD103" s="16"/>
      <c r="AE103" s="16">
        <v>0</v>
      </c>
      <c r="AF103" s="16"/>
      <c r="AG103" s="16">
        <v>0</v>
      </c>
      <c r="AH103" s="16"/>
      <c r="AI103" s="16">
        <v>0</v>
      </c>
      <c r="AJ103" s="16"/>
      <c r="AK103" s="16">
        <f t="shared" si="35"/>
        <v>1151187</v>
      </c>
      <c r="AL103" s="16"/>
      <c r="AM103" s="16">
        <f t="shared" si="36"/>
        <v>-225665</v>
      </c>
      <c r="AN103" s="16"/>
      <c r="AO103" s="16">
        <v>1359230</v>
      </c>
      <c r="AP103" s="16"/>
      <c r="AQ103" s="16">
        <f t="shared" si="29"/>
        <v>1133565</v>
      </c>
      <c r="AR103" s="4"/>
      <c r="AS103" s="20">
        <f t="shared" si="30"/>
        <v>0</v>
      </c>
      <c r="AT103" s="20"/>
      <c r="AU103" s="20">
        <f t="shared" si="31"/>
        <v>0</v>
      </c>
      <c r="AV103" s="20"/>
      <c r="AW103" s="20">
        <f t="shared" si="32"/>
        <v>0</v>
      </c>
      <c r="AX103" s="20"/>
      <c r="AY103" s="20">
        <f t="shared" si="33"/>
        <v>0</v>
      </c>
    </row>
    <row r="104" spans="1:51" x14ac:dyDescent="0.2">
      <c r="A104" s="4" t="s">
        <v>302</v>
      </c>
      <c r="B104" s="4"/>
      <c r="C104" s="4" t="s">
        <v>293</v>
      </c>
      <c r="D104" s="4"/>
      <c r="E104" s="16">
        <v>12287208</v>
      </c>
      <c r="F104" s="16"/>
      <c r="G104" s="16">
        <v>1590299</v>
      </c>
      <c r="H104" s="16"/>
      <c r="I104" s="16">
        <v>721881</v>
      </c>
      <c r="J104" s="16"/>
      <c r="K104" s="16">
        <v>264141</v>
      </c>
      <c r="L104" s="16"/>
      <c r="M104" s="16">
        <f>SUM(G104:K104)-E104</f>
        <v>-9710887</v>
      </c>
      <c r="N104" s="16"/>
      <c r="O104" s="16">
        <f t="shared" si="34"/>
        <v>-9710887</v>
      </c>
      <c r="P104" s="16"/>
      <c r="Q104" s="16">
        <f>257893+61112+31385</f>
        <v>350390</v>
      </c>
      <c r="R104" s="16"/>
      <c r="S104" s="16">
        <v>5743664</v>
      </c>
      <c r="T104" s="16"/>
      <c r="U104" s="16">
        <v>143980</v>
      </c>
      <c r="V104" s="16"/>
      <c r="W104" s="16">
        <v>300</v>
      </c>
      <c r="X104" s="16"/>
      <c r="Y104" s="16">
        <v>0</v>
      </c>
      <c r="Z104" s="16"/>
      <c r="AA104" s="16">
        <v>779395</v>
      </c>
      <c r="AB104" s="16"/>
      <c r="AC104" s="16">
        <v>2943526</v>
      </c>
      <c r="AD104" s="16"/>
      <c r="AE104" s="16">
        <v>0</v>
      </c>
      <c r="AF104" s="16"/>
      <c r="AG104" s="16">
        <v>0</v>
      </c>
      <c r="AH104" s="16"/>
      <c r="AI104" s="16">
        <v>0</v>
      </c>
      <c r="AJ104" s="16"/>
      <c r="AK104" s="16">
        <f t="shared" si="35"/>
        <v>9961255</v>
      </c>
      <c r="AL104" s="16"/>
      <c r="AM104" s="16">
        <f t="shared" si="36"/>
        <v>250368</v>
      </c>
      <c r="AN104" s="16"/>
      <c r="AO104" s="16">
        <v>377060</v>
      </c>
      <c r="AP104" s="16"/>
      <c r="AQ104" s="16">
        <f t="shared" si="29"/>
        <v>627428</v>
      </c>
      <c r="AR104" s="4"/>
      <c r="AS104" s="20">
        <f t="shared" si="30"/>
        <v>0</v>
      </c>
      <c r="AT104" s="20"/>
      <c r="AU104" s="20">
        <f t="shared" si="31"/>
        <v>0</v>
      </c>
      <c r="AV104" s="20"/>
      <c r="AW104" s="20">
        <f t="shared" si="32"/>
        <v>0</v>
      </c>
      <c r="AX104" s="20"/>
      <c r="AY104" s="20">
        <f t="shared" si="33"/>
        <v>0</v>
      </c>
    </row>
    <row r="105" spans="1:51" x14ac:dyDescent="0.2">
      <c r="A105" s="1" t="s">
        <v>192</v>
      </c>
      <c r="C105" s="1" t="s">
        <v>476</v>
      </c>
      <c r="E105" s="16">
        <v>4387693.37</v>
      </c>
      <c r="F105" s="16"/>
      <c r="G105" s="16">
        <v>205541.18</v>
      </c>
      <c r="H105" s="16"/>
      <c r="I105" s="16">
        <v>235680.99</v>
      </c>
      <c r="J105" s="16"/>
      <c r="K105" s="16">
        <v>897204.92</v>
      </c>
      <c r="L105" s="16"/>
      <c r="M105" s="16">
        <v>-3049266.28</v>
      </c>
      <c r="N105" s="16"/>
      <c r="O105" s="16">
        <f t="shared" si="34"/>
        <v>-3049266.2800000003</v>
      </c>
      <c r="P105" s="16"/>
      <c r="Q105" s="16">
        <v>316201.74</v>
      </c>
      <c r="R105" s="16"/>
      <c r="S105" s="16">
        <v>1677131.67</v>
      </c>
      <c r="T105" s="16"/>
      <c r="U105" s="16">
        <v>349286.57</v>
      </c>
      <c r="V105" s="16"/>
      <c r="W105" s="16">
        <v>23705.87</v>
      </c>
      <c r="X105" s="16"/>
      <c r="Y105" s="16">
        <v>0</v>
      </c>
      <c r="Z105" s="16"/>
      <c r="AA105" s="16">
        <v>354286.46</v>
      </c>
      <c r="AB105" s="16"/>
      <c r="AC105" s="16">
        <v>0</v>
      </c>
      <c r="AD105" s="16"/>
      <c r="AE105" s="16">
        <v>263242.65000000002</v>
      </c>
      <c r="AF105" s="16"/>
      <c r="AG105" s="16">
        <v>0</v>
      </c>
      <c r="AH105" s="16"/>
      <c r="AI105" s="16">
        <v>0</v>
      </c>
      <c r="AJ105" s="16"/>
      <c r="AK105" s="16">
        <f t="shared" si="35"/>
        <v>2983854.96</v>
      </c>
      <c r="AL105" s="16"/>
      <c r="AM105" s="16">
        <f t="shared" si="36"/>
        <v>-65411.319999999832</v>
      </c>
      <c r="AN105" s="16"/>
      <c r="AO105" s="16">
        <v>4932574.57</v>
      </c>
      <c r="AP105" s="16"/>
      <c r="AQ105" s="16">
        <f t="shared" si="29"/>
        <v>4867163.25</v>
      </c>
      <c r="AR105" s="4"/>
      <c r="AS105" s="20">
        <f t="shared" si="30"/>
        <v>0</v>
      </c>
      <c r="AT105" s="20"/>
      <c r="AU105" s="20">
        <f t="shared" si="31"/>
        <v>0</v>
      </c>
      <c r="AV105" s="20"/>
      <c r="AW105" s="20">
        <f t="shared" si="32"/>
        <v>-4.6566128730773926E-10</v>
      </c>
      <c r="AX105" s="20"/>
      <c r="AY105" s="20">
        <f t="shared" si="33"/>
        <v>0</v>
      </c>
    </row>
    <row r="106" spans="1:51" x14ac:dyDescent="0.2">
      <c r="A106" s="21" t="s">
        <v>424</v>
      </c>
      <c r="B106" s="21"/>
      <c r="C106" s="21" t="s">
        <v>423</v>
      </c>
      <c r="D106" s="21"/>
      <c r="E106" s="16">
        <v>5633245</v>
      </c>
      <c r="F106" s="16"/>
      <c r="G106" s="16">
        <v>195605</v>
      </c>
      <c r="H106" s="16"/>
      <c r="I106" s="16">
        <v>291622</v>
      </c>
      <c r="J106" s="16"/>
      <c r="K106" s="16">
        <v>25544</v>
      </c>
      <c r="L106" s="16"/>
      <c r="M106" s="16">
        <f>SUM(G106:K106)-E106</f>
        <v>-5120474</v>
      </c>
      <c r="N106" s="16"/>
      <c r="O106" s="16">
        <f t="shared" si="34"/>
        <v>-5120474</v>
      </c>
      <c r="P106" s="16"/>
      <c r="Q106" s="16">
        <f>458439+39300+39300+48236</f>
        <v>585275</v>
      </c>
      <c r="R106" s="16"/>
      <c r="S106" s="16">
        <v>3628362</v>
      </c>
      <c r="T106" s="16"/>
      <c r="U106" s="16">
        <v>327539</v>
      </c>
      <c r="V106" s="16"/>
      <c r="W106" s="16">
        <v>36553</v>
      </c>
      <c r="X106" s="16"/>
      <c r="Y106" s="16">
        <v>0</v>
      </c>
      <c r="Z106" s="16"/>
      <c r="AA106" s="16">
        <v>109436</v>
      </c>
      <c r="AB106" s="16"/>
      <c r="AC106" s="16">
        <v>0</v>
      </c>
      <c r="AD106" s="16"/>
      <c r="AE106" s="16">
        <v>0</v>
      </c>
      <c r="AF106" s="16"/>
      <c r="AG106" s="16">
        <v>0</v>
      </c>
      <c r="AH106" s="16"/>
      <c r="AI106" s="16">
        <v>0</v>
      </c>
      <c r="AJ106" s="16"/>
      <c r="AK106" s="16">
        <f t="shared" si="35"/>
        <v>4687165</v>
      </c>
      <c r="AL106" s="16"/>
      <c r="AM106" s="16">
        <f t="shared" si="36"/>
        <v>-433309</v>
      </c>
      <c r="AN106" s="16"/>
      <c r="AO106" s="16">
        <v>8865511</v>
      </c>
      <c r="AP106" s="16"/>
      <c r="AQ106" s="16">
        <f t="shared" si="29"/>
        <v>8432202</v>
      </c>
      <c r="AR106" s="4"/>
      <c r="AS106" s="20">
        <f t="shared" si="30"/>
        <v>0</v>
      </c>
      <c r="AT106" s="20"/>
      <c r="AU106" s="20">
        <f t="shared" si="31"/>
        <v>0</v>
      </c>
      <c r="AV106" s="20"/>
      <c r="AW106" s="20">
        <f t="shared" si="32"/>
        <v>0</v>
      </c>
      <c r="AX106" s="20"/>
      <c r="AY106" s="20">
        <f t="shared" si="33"/>
        <v>0</v>
      </c>
    </row>
    <row r="107" spans="1:51" x14ac:dyDescent="0.2">
      <c r="A107" s="1" t="s">
        <v>38</v>
      </c>
      <c r="C107" s="1" t="s">
        <v>277</v>
      </c>
      <c r="E107" s="16">
        <v>408889.39</v>
      </c>
      <c r="F107" s="16"/>
      <c r="G107" s="16">
        <v>62872.68</v>
      </c>
      <c r="H107" s="16"/>
      <c r="I107" s="16">
        <v>32030.47</v>
      </c>
      <c r="J107" s="16"/>
      <c r="K107" s="16">
        <v>0</v>
      </c>
      <c r="L107" s="16"/>
      <c r="M107" s="16">
        <v>-313986.24</v>
      </c>
      <c r="N107" s="16"/>
      <c r="O107" s="16">
        <f t="shared" si="34"/>
        <v>-313986.24</v>
      </c>
      <c r="P107" s="16"/>
      <c r="Q107" s="16">
        <v>71686.42</v>
      </c>
      <c r="R107" s="16"/>
      <c r="S107" s="16">
        <v>109060.2</v>
      </c>
      <c r="T107" s="16"/>
      <c r="U107" s="16">
        <v>48869.29</v>
      </c>
      <c r="V107" s="16"/>
      <c r="W107" s="16">
        <v>0</v>
      </c>
      <c r="X107" s="16"/>
      <c r="Y107" s="16">
        <v>9577.4</v>
      </c>
      <c r="Z107" s="16"/>
      <c r="AA107" s="16">
        <v>21181.59</v>
      </c>
      <c r="AB107" s="16"/>
      <c r="AC107" s="16">
        <v>0</v>
      </c>
      <c r="AD107" s="16"/>
      <c r="AE107" s="16">
        <v>0</v>
      </c>
      <c r="AF107" s="16"/>
      <c r="AG107" s="16">
        <v>0</v>
      </c>
      <c r="AH107" s="16"/>
      <c r="AI107" s="16">
        <v>0</v>
      </c>
      <c r="AJ107" s="16"/>
      <c r="AK107" s="16">
        <f t="shared" si="35"/>
        <v>260374.9</v>
      </c>
      <c r="AL107" s="16"/>
      <c r="AM107" s="16">
        <f t="shared" si="36"/>
        <v>-53611.34</v>
      </c>
      <c r="AN107" s="16"/>
      <c r="AO107" s="16">
        <v>538218.75</v>
      </c>
      <c r="AP107" s="16"/>
      <c r="AQ107" s="16">
        <f t="shared" si="29"/>
        <v>484607.41000000003</v>
      </c>
      <c r="AR107" s="4"/>
      <c r="AS107" s="20">
        <f t="shared" si="30"/>
        <v>0</v>
      </c>
      <c r="AT107" s="20"/>
      <c r="AU107" s="20">
        <f t="shared" si="31"/>
        <v>0</v>
      </c>
      <c r="AV107" s="20"/>
      <c r="AW107" s="20">
        <f t="shared" si="32"/>
        <v>0</v>
      </c>
      <c r="AX107" s="20"/>
      <c r="AY107" s="20">
        <f t="shared" si="33"/>
        <v>0</v>
      </c>
    </row>
    <row r="108" spans="1:51" x14ac:dyDescent="0.2">
      <c r="A108" s="4" t="s">
        <v>479</v>
      </c>
      <c r="B108" s="4"/>
      <c r="C108" s="4" t="s">
        <v>693</v>
      </c>
      <c r="D108" s="4"/>
      <c r="E108" s="16">
        <v>615004</v>
      </c>
      <c r="F108" s="16"/>
      <c r="G108" s="16">
        <v>77121</v>
      </c>
      <c r="H108" s="16"/>
      <c r="I108" s="16">
        <v>0</v>
      </c>
      <c r="J108" s="16"/>
      <c r="K108" s="16">
        <v>0</v>
      </c>
      <c r="L108" s="16"/>
      <c r="M108" s="16">
        <f>SUM(G108:K108)-E108</f>
        <v>-537883</v>
      </c>
      <c r="N108" s="16"/>
      <c r="O108" s="16">
        <f t="shared" si="34"/>
        <v>-537883</v>
      </c>
      <c r="P108" s="16"/>
      <c r="Q108" s="16">
        <v>37116</v>
      </c>
      <c r="R108" s="16"/>
      <c r="S108" s="16">
        <v>387475</v>
      </c>
      <c r="T108" s="16"/>
      <c r="U108" s="16">
        <f>2556+5295</f>
        <v>7851</v>
      </c>
      <c r="V108" s="16"/>
      <c r="W108" s="16">
        <v>81498</v>
      </c>
      <c r="X108" s="16"/>
      <c r="Y108" s="16">
        <v>27700</v>
      </c>
      <c r="Z108" s="16"/>
      <c r="AA108" s="16">
        <v>954</v>
      </c>
      <c r="AB108" s="16"/>
      <c r="AC108" s="16">
        <v>137245</v>
      </c>
      <c r="AD108" s="16"/>
      <c r="AE108" s="16">
        <v>0</v>
      </c>
      <c r="AF108" s="16"/>
      <c r="AG108" s="16">
        <v>0</v>
      </c>
      <c r="AH108" s="16"/>
      <c r="AI108" s="16">
        <v>38988</v>
      </c>
      <c r="AJ108" s="16"/>
      <c r="AK108" s="16">
        <f t="shared" si="35"/>
        <v>718827</v>
      </c>
      <c r="AL108" s="16"/>
      <c r="AM108" s="16">
        <f t="shared" si="36"/>
        <v>180944</v>
      </c>
      <c r="AN108" s="16"/>
      <c r="AO108" s="16">
        <v>114594</v>
      </c>
      <c r="AP108" s="16"/>
      <c r="AQ108" s="16">
        <f t="shared" si="29"/>
        <v>295538</v>
      </c>
      <c r="AR108" s="4"/>
      <c r="AS108" s="20">
        <f t="shared" si="30"/>
        <v>0</v>
      </c>
      <c r="AT108" s="20"/>
      <c r="AU108" s="20">
        <f t="shared" si="31"/>
        <v>0</v>
      </c>
      <c r="AV108" s="20"/>
      <c r="AW108" s="20">
        <f t="shared" si="32"/>
        <v>0</v>
      </c>
      <c r="AX108" s="20"/>
      <c r="AY108" s="20">
        <f t="shared" si="33"/>
        <v>0</v>
      </c>
    </row>
    <row r="109" spans="1:51" x14ac:dyDescent="0.2">
      <c r="A109" s="1" t="s">
        <v>628</v>
      </c>
      <c r="C109" s="1" t="s">
        <v>616</v>
      </c>
      <c r="E109" s="16">
        <v>442134.33</v>
      </c>
      <c r="F109" s="16"/>
      <c r="G109" s="16">
        <v>40940.97</v>
      </c>
      <c r="H109" s="16"/>
      <c r="I109" s="16">
        <v>71864.06</v>
      </c>
      <c r="J109" s="16"/>
      <c r="K109" s="16">
        <v>0</v>
      </c>
      <c r="L109" s="16"/>
      <c r="M109" s="16">
        <v>-329329.3</v>
      </c>
      <c r="N109" s="16"/>
      <c r="O109" s="16">
        <f t="shared" si="34"/>
        <v>-329329.3</v>
      </c>
      <c r="P109" s="16"/>
      <c r="Q109" s="16">
        <v>220066.1</v>
      </c>
      <c r="R109" s="16"/>
      <c r="S109" s="16">
        <v>0</v>
      </c>
      <c r="T109" s="16"/>
      <c r="U109" s="16">
        <v>52419.57</v>
      </c>
      <c r="V109" s="16"/>
      <c r="W109" s="16">
        <v>341.81</v>
      </c>
      <c r="X109" s="16"/>
      <c r="Y109" s="16">
        <v>11323.76</v>
      </c>
      <c r="Z109" s="16"/>
      <c r="AA109" s="16">
        <v>21606.28</v>
      </c>
      <c r="AB109" s="16"/>
      <c r="AC109" s="16">
        <v>0</v>
      </c>
      <c r="AD109" s="16"/>
      <c r="AE109" s="16">
        <v>0</v>
      </c>
      <c r="AF109" s="16"/>
      <c r="AG109" s="16">
        <v>0</v>
      </c>
      <c r="AH109" s="16"/>
      <c r="AI109" s="16">
        <v>0</v>
      </c>
      <c r="AJ109" s="16"/>
      <c r="AK109" s="16">
        <f t="shared" si="35"/>
        <v>305757.52</v>
      </c>
      <c r="AL109" s="16"/>
      <c r="AM109" s="16">
        <f t="shared" si="36"/>
        <v>-23571.77999999997</v>
      </c>
      <c r="AN109" s="16"/>
      <c r="AO109" s="16">
        <v>288390.32</v>
      </c>
      <c r="AP109" s="16"/>
      <c r="AQ109" s="16">
        <f t="shared" si="29"/>
        <v>264818.54000000004</v>
      </c>
      <c r="AR109" s="4"/>
      <c r="AS109" s="20">
        <f t="shared" si="30"/>
        <v>0</v>
      </c>
      <c r="AT109" s="20"/>
      <c r="AU109" s="20">
        <f t="shared" si="31"/>
        <v>0</v>
      </c>
      <c r="AV109" s="20"/>
      <c r="AW109" s="20">
        <f t="shared" si="32"/>
        <v>0</v>
      </c>
      <c r="AX109" s="20"/>
      <c r="AY109" s="20">
        <f t="shared" si="33"/>
        <v>0</v>
      </c>
    </row>
    <row r="110" spans="1:51" x14ac:dyDescent="0.2">
      <c r="A110" s="1" t="s">
        <v>513</v>
      </c>
      <c r="C110" s="1" t="s">
        <v>511</v>
      </c>
      <c r="E110" s="16">
        <v>867396</v>
      </c>
      <c r="F110" s="16"/>
      <c r="G110" s="16">
        <v>260074.18</v>
      </c>
      <c r="H110" s="16"/>
      <c r="I110" s="16">
        <v>37910.959999999999</v>
      </c>
      <c r="J110" s="16"/>
      <c r="K110" s="16">
        <v>28606</v>
      </c>
      <c r="L110" s="16"/>
      <c r="M110" s="16">
        <v>-540804.86</v>
      </c>
      <c r="N110" s="16"/>
      <c r="O110" s="16">
        <f t="shared" si="34"/>
        <v>-540804.8600000001</v>
      </c>
      <c r="P110" s="16"/>
      <c r="Q110" s="16">
        <v>116721.76</v>
      </c>
      <c r="R110" s="16"/>
      <c r="S110" s="16">
        <v>300540.62</v>
      </c>
      <c r="T110" s="16"/>
      <c r="U110" s="16">
        <v>85743.09</v>
      </c>
      <c r="V110" s="16"/>
      <c r="W110" s="16">
        <v>9.4600000000000009</v>
      </c>
      <c r="X110" s="16"/>
      <c r="Y110" s="16">
        <v>4724.1899999999996</v>
      </c>
      <c r="Z110" s="16"/>
      <c r="AA110" s="16">
        <v>13903.15</v>
      </c>
      <c r="AB110" s="16"/>
      <c r="AC110" s="16">
        <v>0</v>
      </c>
      <c r="AD110" s="16"/>
      <c r="AE110" s="16">
        <v>0</v>
      </c>
      <c r="AF110" s="16"/>
      <c r="AG110" s="16">
        <v>0</v>
      </c>
      <c r="AH110" s="16"/>
      <c r="AI110" s="16">
        <v>0</v>
      </c>
      <c r="AJ110" s="16"/>
      <c r="AK110" s="16">
        <f t="shared" si="35"/>
        <v>521642.27</v>
      </c>
      <c r="AL110" s="16"/>
      <c r="AM110" s="16">
        <f t="shared" si="36"/>
        <v>-19162.589999999967</v>
      </c>
      <c r="AN110" s="16"/>
      <c r="AO110" s="16">
        <v>158742.95000000001</v>
      </c>
      <c r="AP110" s="16"/>
      <c r="AQ110" s="16">
        <f t="shared" si="29"/>
        <v>139580.36000000004</v>
      </c>
      <c r="AR110" s="4"/>
      <c r="AS110" s="20">
        <f t="shared" si="30"/>
        <v>0</v>
      </c>
      <c r="AT110" s="20"/>
      <c r="AU110" s="20">
        <f t="shared" si="31"/>
        <v>0</v>
      </c>
      <c r="AV110" s="20"/>
      <c r="AW110" s="20">
        <f t="shared" si="32"/>
        <v>-1.1641532182693481E-10</v>
      </c>
      <c r="AX110" s="20"/>
      <c r="AY110" s="20">
        <f t="shared" si="33"/>
        <v>0</v>
      </c>
    </row>
    <row r="111" spans="1:51" x14ac:dyDescent="0.2">
      <c r="A111" s="1" t="s">
        <v>774</v>
      </c>
      <c r="C111" s="1" t="s">
        <v>285</v>
      </c>
      <c r="E111" s="16">
        <v>11081.28</v>
      </c>
      <c r="F111" s="16"/>
      <c r="G111" s="16">
        <v>0</v>
      </c>
      <c r="H111" s="16"/>
      <c r="I111" s="16">
        <v>2342.63</v>
      </c>
      <c r="J111" s="16"/>
      <c r="K111" s="16">
        <v>0</v>
      </c>
      <c r="L111" s="16"/>
      <c r="M111" s="16">
        <v>-8738.65</v>
      </c>
      <c r="N111" s="16"/>
      <c r="O111" s="16">
        <f t="shared" si="34"/>
        <v>-8738.6500000000015</v>
      </c>
      <c r="P111" s="16"/>
      <c r="Q111" s="16">
        <v>0</v>
      </c>
      <c r="R111" s="16"/>
      <c r="S111" s="16">
        <v>0</v>
      </c>
      <c r="T111" s="16"/>
      <c r="U111" s="16">
        <v>1628.58</v>
      </c>
      <c r="V111" s="16"/>
      <c r="W111" s="16">
        <v>138.9</v>
      </c>
      <c r="X111" s="16"/>
      <c r="Y111" s="16">
        <v>0</v>
      </c>
      <c r="Z111" s="16"/>
      <c r="AA111" s="16">
        <v>0</v>
      </c>
      <c r="AB111" s="16"/>
      <c r="AC111" s="16">
        <v>0</v>
      </c>
      <c r="AD111" s="16"/>
      <c r="AE111" s="16">
        <v>0</v>
      </c>
      <c r="AF111" s="16"/>
      <c r="AG111" s="16">
        <v>0</v>
      </c>
      <c r="AH111" s="16"/>
      <c r="AI111" s="16">
        <v>0</v>
      </c>
      <c r="AJ111" s="16"/>
      <c r="AK111" s="16">
        <f t="shared" si="35"/>
        <v>1767.48</v>
      </c>
      <c r="AL111" s="16"/>
      <c r="AM111" s="16">
        <f t="shared" si="36"/>
        <v>-6971.17</v>
      </c>
      <c r="AN111" s="16"/>
      <c r="AO111" s="16">
        <v>144319.57999999999</v>
      </c>
      <c r="AP111" s="16"/>
      <c r="AQ111" s="16">
        <f t="shared" si="29"/>
        <v>137348.40999999997</v>
      </c>
      <c r="AR111" s="4"/>
      <c r="AS111" s="20">
        <f t="shared" si="30"/>
        <v>0</v>
      </c>
      <c r="AT111" s="20"/>
      <c r="AU111" s="20">
        <f t="shared" si="31"/>
        <v>0</v>
      </c>
      <c r="AV111" s="20"/>
      <c r="AW111" s="20">
        <f t="shared" si="32"/>
        <v>0</v>
      </c>
      <c r="AX111" s="20"/>
      <c r="AY111" s="20">
        <f t="shared" si="33"/>
        <v>0</v>
      </c>
    </row>
    <row r="112" spans="1:51" x14ac:dyDescent="0.2">
      <c r="A112" s="1" t="s">
        <v>150</v>
      </c>
      <c r="C112" s="1" t="s">
        <v>437</v>
      </c>
      <c r="E112" s="16">
        <v>780384.59</v>
      </c>
      <c r="F112" s="16"/>
      <c r="G112" s="16">
        <v>38974.699999999997</v>
      </c>
      <c r="H112" s="16"/>
      <c r="I112" s="16">
        <v>60674.17</v>
      </c>
      <c r="J112" s="16"/>
      <c r="K112" s="16">
        <v>37800</v>
      </c>
      <c r="L112" s="16"/>
      <c r="M112" s="16">
        <v>-642935.72</v>
      </c>
      <c r="N112" s="16"/>
      <c r="O112" s="16">
        <f t="shared" si="34"/>
        <v>-642935.72</v>
      </c>
      <c r="P112" s="16"/>
      <c r="Q112" s="16">
        <v>151673.64000000001</v>
      </c>
      <c r="R112" s="16"/>
      <c r="S112" s="16">
        <v>169193.71</v>
      </c>
      <c r="T112" s="16"/>
      <c r="U112" s="16">
        <v>552250.81999999995</v>
      </c>
      <c r="V112" s="16"/>
      <c r="W112" s="16">
        <v>1515.37</v>
      </c>
      <c r="X112" s="16"/>
      <c r="Y112" s="16">
        <v>10603.13</v>
      </c>
      <c r="Z112" s="16"/>
      <c r="AA112" s="16">
        <v>16994.259999999998</v>
      </c>
      <c r="AB112" s="16"/>
      <c r="AC112" s="16">
        <v>0</v>
      </c>
      <c r="AD112" s="16"/>
      <c r="AE112" s="16">
        <v>1008.5</v>
      </c>
      <c r="AF112" s="16"/>
      <c r="AG112" s="16">
        <v>0</v>
      </c>
      <c r="AH112" s="16"/>
      <c r="AI112" s="16">
        <v>0</v>
      </c>
      <c r="AJ112" s="16"/>
      <c r="AK112" s="16">
        <f t="shared" si="35"/>
        <v>903239.42999999993</v>
      </c>
      <c r="AL112" s="16"/>
      <c r="AM112" s="16">
        <f t="shared" si="36"/>
        <v>260303.70999999996</v>
      </c>
      <c r="AN112" s="16"/>
      <c r="AO112" s="16">
        <v>534775.56999999995</v>
      </c>
      <c r="AP112" s="16"/>
      <c r="AQ112" s="16">
        <f t="shared" si="29"/>
        <v>795079.27999999991</v>
      </c>
      <c r="AR112" s="4"/>
      <c r="AS112" s="20">
        <f t="shared" si="30"/>
        <v>0</v>
      </c>
      <c r="AT112" s="20"/>
      <c r="AU112" s="20">
        <f t="shared" si="31"/>
        <v>0</v>
      </c>
      <c r="AV112" s="20"/>
      <c r="AW112" s="20">
        <f t="shared" si="32"/>
        <v>0</v>
      </c>
      <c r="AX112" s="20"/>
      <c r="AY112" s="20">
        <f t="shared" si="33"/>
        <v>0</v>
      </c>
    </row>
    <row r="113" spans="1:51" x14ac:dyDescent="0.2">
      <c r="A113" s="1" t="s">
        <v>227</v>
      </c>
      <c r="C113" s="1" t="s">
        <v>541</v>
      </c>
      <c r="E113" s="16">
        <v>13453.99</v>
      </c>
      <c r="F113" s="16"/>
      <c r="G113" s="16">
        <v>0</v>
      </c>
      <c r="H113" s="16"/>
      <c r="I113" s="16">
        <v>5959.6</v>
      </c>
      <c r="J113" s="16"/>
      <c r="K113" s="16">
        <v>0</v>
      </c>
      <c r="L113" s="16"/>
      <c r="M113" s="16">
        <v>-7494.39</v>
      </c>
      <c r="N113" s="16"/>
      <c r="O113" s="16">
        <f t="shared" si="34"/>
        <v>-7494.3899999999994</v>
      </c>
      <c r="P113" s="16"/>
      <c r="Q113" s="16">
        <v>2879.23</v>
      </c>
      <c r="R113" s="16"/>
      <c r="S113" s="16">
        <v>0</v>
      </c>
      <c r="T113" s="16"/>
      <c r="U113" s="16">
        <v>6136.41</v>
      </c>
      <c r="V113" s="16"/>
      <c r="W113" s="16">
        <v>39.57</v>
      </c>
      <c r="X113" s="16"/>
      <c r="Y113" s="16">
        <v>0</v>
      </c>
      <c r="Z113" s="16"/>
      <c r="AA113" s="16">
        <v>2877.3</v>
      </c>
      <c r="AB113" s="16"/>
      <c r="AC113" s="16">
        <v>0</v>
      </c>
      <c r="AD113" s="16"/>
      <c r="AE113" s="16">
        <v>0</v>
      </c>
      <c r="AF113" s="16"/>
      <c r="AG113" s="16">
        <v>0</v>
      </c>
      <c r="AH113" s="16"/>
      <c r="AI113" s="16">
        <v>0</v>
      </c>
      <c r="AJ113" s="16"/>
      <c r="AK113" s="16">
        <f t="shared" si="35"/>
        <v>11932.509999999998</v>
      </c>
      <c r="AL113" s="16"/>
      <c r="AM113" s="16">
        <f t="shared" si="36"/>
        <v>4438.1199999999981</v>
      </c>
      <c r="AN113" s="16"/>
      <c r="AO113" s="16">
        <v>82545.47</v>
      </c>
      <c r="AP113" s="16"/>
      <c r="AQ113" s="16">
        <f t="shared" si="29"/>
        <v>86983.59</v>
      </c>
      <c r="AR113" s="4"/>
      <c r="AS113" s="20">
        <f t="shared" si="30"/>
        <v>0</v>
      </c>
      <c r="AT113" s="20"/>
      <c r="AU113" s="20">
        <f t="shared" si="31"/>
        <v>0</v>
      </c>
      <c r="AV113" s="20"/>
      <c r="AW113" s="20">
        <f t="shared" si="32"/>
        <v>0</v>
      </c>
      <c r="AX113" s="20"/>
      <c r="AY113" s="20">
        <f t="shared" si="33"/>
        <v>0</v>
      </c>
    </row>
    <row r="114" spans="1:51" x14ac:dyDescent="0.2">
      <c r="A114" s="1" t="s">
        <v>630</v>
      </c>
      <c r="C114" s="1" t="s">
        <v>848</v>
      </c>
      <c r="E114" s="16">
        <v>37974.269999999997</v>
      </c>
      <c r="F114" s="16"/>
      <c r="G114" s="16">
        <v>2550</v>
      </c>
      <c r="H114" s="16"/>
      <c r="I114" s="16">
        <v>21018.34</v>
      </c>
      <c r="J114" s="16"/>
      <c r="K114" s="16">
        <v>0</v>
      </c>
      <c r="L114" s="16"/>
      <c r="M114" s="16">
        <v>-14405.93</v>
      </c>
      <c r="N114" s="16"/>
      <c r="O114" s="16">
        <f t="shared" si="34"/>
        <v>-14405.929999999997</v>
      </c>
      <c r="P114" s="16"/>
      <c r="Q114" s="16">
        <v>8865.33</v>
      </c>
      <c r="R114" s="16"/>
      <c r="S114" s="16">
        <v>0</v>
      </c>
      <c r="T114" s="16"/>
      <c r="U114" s="16">
        <v>16728.96</v>
      </c>
      <c r="V114" s="16"/>
      <c r="W114" s="16">
        <v>0</v>
      </c>
      <c r="X114" s="16"/>
      <c r="Y114" s="16">
        <v>0</v>
      </c>
      <c r="Z114" s="16"/>
      <c r="AA114" s="16">
        <v>941.92</v>
      </c>
      <c r="AB114" s="16"/>
      <c r="AC114" s="16">
        <v>0</v>
      </c>
      <c r="AD114" s="16"/>
      <c r="AE114" s="16">
        <v>0</v>
      </c>
      <c r="AF114" s="16"/>
      <c r="AG114" s="16">
        <v>0</v>
      </c>
      <c r="AH114" s="16"/>
      <c r="AI114" s="16">
        <v>0</v>
      </c>
      <c r="AJ114" s="16"/>
      <c r="AK114" s="16">
        <f t="shared" si="35"/>
        <v>26536.21</v>
      </c>
      <c r="AL114" s="16"/>
      <c r="AM114" s="16">
        <f t="shared" si="36"/>
        <v>12130.279999999999</v>
      </c>
      <c r="AN114" s="16"/>
      <c r="AO114" s="16">
        <v>89635.89</v>
      </c>
      <c r="AP114" s="16"/>
      <c r="AQ114" s="16">
        <f t="shared" ref="AQ114:AQ148" si="37">+AM114+AO114</f>
        <v>101766.17</v>
      </c>
      <c r="AR114" s="4"/>
      <c r="AS114" s="20">
        <f t="shared" ref="AS114:AS148" si="38">+M114-O114</f>
        <v>0</v>
      </c>
      <c r="AT114" s="20"/>
      <c r="AU114" s="20">
        <f t="shared" ref="AU114:AU148" si="39">+Q114+S114+U114+W114+Y114+AA114+AC114+AE114+AI114-AK114+AG114</f>
        <v>0</v>
      </c>
      <c r="AV114" s="20"/>
      <c r="AW114" s="20">
        <f t="shared" ref="AW114:AW148" si="40">+O114+AK114-AM114</f>
        <v>0</v>
      </c>
      <c r="AX114" s="20"/>
      <c r="AY114" s="20">
        <f t="shared" ref="AY114:AY148" si="41">+O114+AK114+AO114-AQ114</f>
        <v>0</v>
      </c>
    </row>
    <row r="115" spans="1:51" x14ac:dyDescent="0.2">
      <c r="A115" s="1" t="s">
        <v>19</v>
      </c>
      <c r="C115" s="1" t="s">
        <v>261</v>
      </c>
      <c r="E115" s="16">
        <v>590176.59</v>
      </c>
      <c r="F115" s="16"/>
      <c r="G115" s="16">
        <v>53758.38</v>
      </c>
      <c r="H115" s="16"/>
      <c r="I115" s="16">
        <v>80960.59</v>
      </c>
      <c r="J115" s="16"/>
      <c r="K115" s="16">
        <v>0</v>
      </c>
      <c r="L115" s="16"/>
      <c r="M115" s="16">
        <v>-455457.62</v>
      </c>
      <c r="N115" s="16"/>
      <c r="O115" s="16">
        <f t="shared" si="34"/>
        <v>-455457.62</v>
      </c>
      <c r="P115" s="16"/>
      <c r="Q115" s="16">
        <v>87938.58</v>
      </c>
      <c r="R115" s="16"/>
      <c r="S115" s="16">
        <v>196620.34</v>
      </c>
      <c r="T115" s="16"/>
      <c r="U115" s="16">
        <v>110625.36</v>
      </c>
      <c r="V115" s="16"/>
      <c r="W115" s="16">
        <v>1438.26</v>
      </c>
      <c r="X115" s="16"/>
      <c r="Y115" s="16">
        <v>0</v>
      </c>
      <c r="Z115" s="16"/>
      <c r="AA115" s="16">
        <v>30332.31</v>
      </c>
      <c r="AB115" s="16"/>
      <c r="AC115" s="16">
        <v>0</v>
      </c>
      <c r="AD115" s="16"/>
      <c r="AE115" s="16">
        <v>0</v>
      </c>
      <c r="AF115" s="16"/>
      <c r="AG115" s="16">
        <v>0</v>
      </c>
      <c r="AH115" s="16"/>
      <c r="AI115" s="16">
        <v>0</v>
      </c>
      <c r="AJ115" s="16"/>
      <c r="AK115" s="16">
        <f t="shared" si="35"/>
        <v>426954.85</v>
      </c>
      <c r="AL115" s="16"/>
      <c r="AM115" s="16">
        <f t="shared" si="36"/>
        <v>-28502.770000000019</v>
      </c>
      <c r="AN115" s="16"/>
      <c r="AO115" s="16">
        <v>323025.24</v>
      </c>
      <c r="AP115" s="16"/>
      <c r="AQ115" s="16">
        <f t="shared" si="37"/>
        <v>294522.46999999997</v>
      </c>
      <c r="AR115" s="4"/>
      <c r="AS115" s="20">
        <f t="shared" si="38"/>
        <v>0</v>
      </c>
      <c r="AT115" s="20"/>
      <c r="AU115" s="20">
        <f t="shared" si="39"/>
        <v>0</v>
      </c>
      <c r="AV115" s="20"/>
      <c r="AW115" s="20">
        <f t="shared" si="40"/>
        <v>0</v>
      </c>
      <c r="AX115" s="20"/>
      <c r="AY115" s="20">
        <f t="shared" si="41"/>
        <v>0</v>
      </c>
    </row>
    <row r="116" spans="1:51" x14ac:dyDescent="0.2">
      <c r="A116" s="1" t="s">
        <v>213</v>
      </c>
      <c r="C116" s="1" t="s">
        <v>511</v>
      </c>
      <c r="E116" s="16">
        <v>4186802.69</v>
      </c>
      <c r="F116" s="16"/>
      <c r="G116" s="16">
        <v>1198167.78</v>
      </c>
      <c r="H116" s="16"/>
      <c r="I116" s="16">
        <v>141481.4</v>
      </c>
      <c r="J116" s="16"/>
      <c r="K116" s="16">
        <v>11937.4</v>
      </c>
      <c r="L116" s="16"/>
      <c r="M116" s="16">
        <v>-2835216.11</v>
      </c>
      <c r="N116" s="16"/>
      <c r="O116" s="16">
        <f t="shared" si="34"/>
        <v>-2835216.1100000003</v>
      </c>
      <c r="P116" s="16"/>
      <c r="Q116" s="16">
        <v>529393.47</v>
      </c>
      <c r="R116" s="16"/>
      <c r="S116" s="16">
        <v>1667824.82</v>
      </c>
      <c r="T116" s="16"/>
      <c r="U116" s="16">
        <v>76698.880000000005</v>
      </c>
      <c r="V116" s="16"/>
      <c r="W116" s="16">
        <v>1127.78</v>
      </c>
      <c r="X116" s="16"/>
      <c r="Y116" s="16">
        <v>0</v>
      </c>
      <c r="Z116" s="16"/>
      <c r="AA116" s="16">
        <v>593760.31000000006</v>
      </c>
      <c r="AB116" s="16"/>
      <c r="AC116" s="16">
        <v>35000</v>
      </c>
      <c r="AD116" s="16"/>
      <c r="AE116" s="16">
        <v>492521</v>
      </c>
      <c r="AF116" s="16"/>
      <c r="AG116" s="16">
        <v>0</v>
      </c>
      <c r="AH116" s="16"/>
      <c r="AI116" s="16">
        <v>32043.03</v>
      </c>
      <c r="AJ116" s="16"/>
      <c r="AK116" s="16">
        <f t="shared" si="35"/>
        <v>3428369.2899999996</v>
      </c>
      <c r="AL116" s="16"/>
      <c r="AM116" s="16">
        <f t="shared" si="36"/>
        <v>593153.1799999997</v>
      </c>
      <c r="AN116" s="16"/>
      <c r="AO116" s="16">
        <v>1218515.27</v>
      </c>
      <c r="AP116" s="16"/>
      <c r="AQ116" s="16">
        <f t="shared" si="37"/>
        <v>1811668.4499999997</v>
      </c>
      <c r="AR116" s="4"/>
      <c r="AS116" s="20">
        <f t="shared" si="38"/>
        <v>0</v>
      </c>
      <c r="AT116" s="20"/>
      <c r="AU116" s="20">
        <f t="shared" si="39"/>
        <v>0</v>
      </c>
      <c r="AV116" s="20"/>
      <c r="AW116" s="20">
        <f t="shared" si="40"/>
        <v>0</v>
      </c>
      <c r="AX116" s="20"/>
      <c r="AY116" s="20">
        <f t="shared" si="41"/>
        <v>0</v>
      </c>
    </row>
    <row r="117" spans="1:51" x14ac:dyDescent="0.2">
      <c r="A117" s="1" t="s">
        <v>129</v>
      </c>
      <c r="C117" s="1" t="s">
        <v>419</v>
      </c>
      <c r="E117" s="16">
        <v>75211.149999999994</v>
      </c>
      <c r="F117" s="16"/>
      <c r="G117" s="16">
        <v>90</v>
      </c>
      <c r="H117" s="16"/>
      <c r="I117" s="16">
        <v>11144.66</v>
      </c>
      <c r="J117" s="16"/>
      <c r="K117" s="16">
        <v>0</v>
      </c>
      <c r="L117" s="16"/>
      <c r="M117" s="16">
        <v>-63976.49</v>
      </c>
      <c r="N117" s="16"/>
      <c r="O117" s="16">
        <f t="shared" si="34"/>
        <v>-63976.489999999991</v>
      </c>
      <c r="P117" s="16"/>
      <c r="Q117" s="16">
        <v>10865.52</v>
      </c>
      <c r="R117" s="16"/>
      <c r="S117" s="16">
        <v>0</v>
      </c>
      <c r="T117" s="16"/>
      <c r="U117" s="16">
        <v>13818.44</v>
      </c>
      <c r="V117" s="16"/>
      <c r="W117" s="16">
        <v>2151.2199999999998</v>
      </c>
      <c r="X117" s="16"/>
      <c r="Y117" s="16">
        <v>0</v>
      </c>
      <c r="Z117" s="16"/>
      <c r="AA117" s="16">
        <v>0</v>
      </c>
      <c r="AB117" s="16"/>
      <c r="AC117" s="16">
        <v>0</v>
      </c>
      <c r="AD117" s="16"/>
      <c r="AE117" s="16">
        <v>0</v>
      </c>
      <c r="AF117" s="16"/>
      <c r="AG117" s="16">
        <v>0</v>
      </c>
      <c r="AH117" s="16"/>
      <c r="AI117" s="16">
        <v>0</v>
      </c>
      <c r="AJ117" s="16"/>
      <c r="AK117" s="16">
        <f t="shared" si="35"/>
        <v>26835.18</v>
      </c>
      <c r="AL117" s="16"/>
      <c r="AM117" s="16">
        <f t="shared" si="36"/>
        <v>-37141.31</v>
      </c>
      <c r="AN117" s="16"/>
      <c r="AO117" s="16">
        <v>307917.51</v>
      </c>
      <c r="AP117" s="16"/>
      <c r="AQ117" s="16">
        <f t="shared" si="37"/>
        <v>270776.2</v>
      </c>
      <c r="AR117" s="4"/>
      <c r="AS117" s="20">
        <f t="shared" si="38"/>
        <v>0</v>
      </c>
      <c r="AT117" s="20"/>
      <c r="AU117" s="20">
        <f t="shared" si="39"/>
        <v>0</v>
      </c>
      <c r="AV117" s="20"/>
      <c r="AW117" s="20">
        <f t="shared" si="40"/>
        <v>0</v>
      </c>
      <c r="AX117" s="20"/>
      <c r="AY117" s="20">
        <f t="shared" si="41"/>
        <v>0</v>
      </c>
    </row>
    <row r="118" spans="1:51" x14ac:dyDescent="0.2">
      <c r="A118" s="1" t="s">
        <v>625</v>
      </c>
      <c r="C118" s="1" t="s">
        <v>624</v>
      </c>
      <c r="E118" s="16">
        <v>204121.95</v>
      </c>
      <c r="F118" s="16"/>
      <c r="G118" s="16">
        <v>6955.31</v>
      </c>
      <c r="H118" s="16"/>
      <c r="I118" s="16">
        <v>15325.5</v>
      </c>
      <c r="J118" s="16"/>
      <c r="K118" s="16">
        <v>0</v>
      </c>
      <c r="L118" s="16"/>
      <c r="M118" s="16">
        <v>-181841.14</v>
      </c>
      <c r="N118" s="16"/>
      <c r="O118" s="16">
        <f t="shared" si="34"/>
        <v>-181841.14</v>
      </c>
      <c r="P118" s="16"/>
      <c r="Q118" s="16">
        <v>63133.56</v>
      </c>
      <c r="R118" s="16"/>
      <c r="S118" s="16">
        <v>81340.36</v>
      </c>
      <c r="T118" s="16"/>
      <c r="U118" s="16">
        <v>25840.21</v>
      </c>
      <c r="V118" s="16"/>
      <c r="W118" s="16">
        <v>0</v>
      </c>
      <c r="X118" s="16"/>
      <c r="Y118" s="16">
        <v>0</v>
      </c>
      <c r="Z118" s="16"/>
      <c r="AA118" s="16">
        <v>14408.87</v>
      </c>
      <c r="AB118" s="16"/>
      <c r="AC118" s="16">
        <v>0</v>
      </c>
      <c r="AD118" s="16"/>
      <c r="AE118" s="16">
        <v>0</v>
      </c>
      <c r="AF118" s="16"/>
      <c r="AG118" s="16">
        <v>0</v>
      </c>
      <c r="AH118" s="16"/>
      <c r="AI118" s="16">
        <v>0</v>
      </c>
      <c r="AJ118" s="16"/>
      <c r="AK118" s="16">
        <f t="shared" si="35"/>
        <v>184722.99999999997</v>
      </c>
      <c r="AL118" s="16"/>
      <c r="AM118" s="16">
        <f t="shared" si="36"/>
        <v>2881.8599999999569</v>
      </c>
      <c r="AN118" s="16"/>
      <c r="AO118" s="16">
        <v>156251.45000000001</v>
      </c>
      <c r="AP118" s="16"/>
      <c r="AQ118" s="16">
        <f t="shared" si="37"/>
        <v>159133.30999999997</v>
      </c>
      <c r="AR118" s="4"/>
      <c r="AS118" s="20">
        <f t="shared" si="38"/>
        <v>0</v>
      </c>
      <c r="AT118" s="20"/>
      <c r="AU118" s="20">
        <f t="shared" si="39"/>
        <v>0</v>
      </c>
      <c r="AV118" s="20"/>
      <c r="AW118" s="20">
        <f t="shared" si="40"/>
        <v>0</v>
      </c>
      <c r="AX118" s="20"/>
      <c r="AY118" s="20">
        <f t="shared" si="41"/>
        <v>0</v>
      </c>
    </row>
    <row r="119" spans="1:51" x14ac:dyDescent="0.2">
      <c r="A119" s="1" t="s">
        <v>701</v>
      </c>
      <c r="C119" s="1" t="s">
        <v>192</v>
      </c>
      <c r="E119" s="16">
        <v>130255.31</v>
      </c>
      <c r="F119" s="16"/>
      <c r="G119" s="16">
        <v>23488.48</v>
      </c>
      <c r="H119" s="16"/>
      <c r="I119" s="16">
        <v>25917.85</v>
      </c>
      <c r="J119" s="16"/>
      <c r="K119" s="16">
        <v>0</v>
      </c>
      <c r="L119" s="16"/>
      <c r="M119" s="16">
        <v>-80848.98</v>
      </c>
      <c r="N119" s="16"/>
      <c r="O119" s="16">
        <f t="shared" si="34"/>
        <v>-80848.98000000001</v>
      </c>
      <c r="P119" s="16"/>
      <c r="Q119" s="16">
        <v>35673.53</v>
      </c>
      <c r="R119" s="16"/>
      <c r="S119" s="16">
        <v>0</v>
      </c>
      <c r="T119" s="16"/>
      <c r="U119" s="16">
        <v>10765.8</v>
      </c>
      <c r="V119" s="16"/>
      <c r="W119" s="16">
        <v>30.1</v>
      </c>
      <c r="X119" s="16"/>
      <c r="Y119" s="16">
        <v>1472.23</v>
      </c>
      <c r="Z119" s="16"/>
      <c r="AA119" s="16">
        <v>40264.68</v>
      </c>
      <c r="AB119" s="16"/>
      <c r="AC119" s="16">
        <v>0</v>
      </c>
      <c r="AD119" s="16"/>
      <c r="AE119" s="16">
        <v>0</v>
      </c>
      <c r="AF119" s="16"/>
      <c r="AG119" s="16">
        <v>0</v>
      </c>
      <c r="AH119" s="16"/>
      <c r="AI119" s="16">
        <v>0</v>
      </c>
      <c r="AJ119" s="16"/>
      <c r="AK119" s="16">
        <f t="shared" si="35"/>
        <v>88206.34</v>
      </c>
      <c r="AL119" s="16"/>
      <c r="AM119" s="16">
        <f t="shared" si="36"/>
        <v>7357.3600000000006</v>
      </c>
      <c r="AN119" s="16"/>
      <c r="AO119" s="16">
        <v>103400.4</v>
      </c>
      <c r="AP119" s="16"/>
      <c r="AQ119" s="16">
        <f t="shared" si="37"/>
        <v>110757.75999999999</v>
      </c>
      <c r="AR119" s="4"/>
      <c r="AS119" s="20">
        <f t="shared" si="38"/>
        <v>0</v>
      </c>
      <c r="AT119" s="20"/>
      <c r="AU119" s="20">
        <f t="shared" si="39"/>
        <v>0</v>
      </c>
      <c r="AV119" s="20"/>
      <c r="AW119" s="20">
        <f t="shared" si="40"/>
        <v>-1.4551915228366852E-11</v>
      </c>
      <c r="AX119" s="20"/>
      <c r="AY119" s="20">
        <f t="shared" si="41"/>
        <v>0</v>
      </c>
    </row>
    <row r="120" spans="1:51" x14ac:dyDescent="0.2">
      <c r="A120" s="1" t="s">
        <v>453</v>
      </c>
      <c r="C120" s="1" t="s">
        <v>450</v>
      </c>
      <c r="E120" s="16">
        <v>625522.43000000005</v>
      </c>
      <c r="F120" s="16"/>
      <c r="G120" s="16">
        <v>139617.29</v>
      </c>
      <c r="H120" s="16"/>
      <c r="I120" s="16">
        <v>81655.490000000005</v>
      </c>
      <c r="J120" s="16"/>
      <c r="K120" s="16">
        <v>0</v>
      </c>
      <c r="L120" s="16"/>
      <c r="M120" s="16">
        <v>-404249.65</v>
      </c>
      <c r="N120" s="16"/>
      <c r="O120" s="16">
        <f t="shared" si="34"/>
        <v>-404249.65</v>
      </c>
      <c r="P120" s="16"/>
      <c r="Q120" s="16">
        <v>92373.92</v>
      </c>
      <c r="R120" s="16"/>
      <c r="S120" s="16">
        <v>134364.82</v>
      </c>
      <c r="T120" s="16"/>
      <c r="U120" s="16">
        <v>128103.34</v>
      </c>
      <c r="V120" s="16"/>
      <c r="W120" s="16">
        <v>1386.42</v>
      </c>
      <c r="X120" s="16"/>
      <c r="Y120" s="16">
        <v>11248.15</v>
      </c>
      <c r="Z120" s="16"/>
      <c r="AA120" s="16">
        <v>16341.47</v>
      </c>
      <c r="AB120" s="16"/>
      <c r="AC120" s="16">
        <v>0</v>
      </c>
      <c r="AD120" s="16"/>
      <c r="AE120" s="16">
        <v>-2516.0300000000002</v>
      </c>
      <c r="AF120" s="16"/>
      <c r="AG120" s="16">
        <v>0</v>
      </c>
      <c r="AH120" s="16"/>
      <c r="AI120" s="16">
        <v>0</v>
      </c>
      <c r="AJ120" s="16"/>
      <c r="AK120" s="16">
        <f t="shared" si="35"/>
        <v>381302.08999999991</v>
      </c>
      <c r="AL120" s="16"/>
      <c r="AM120" s="16">
        <f t="shared" si="36"/>
        <v>-22947.560000000114</v>
      </c>
      <c r="AN120" s="16"/>
      <c r="AO120" s="16">
        <v>660838.80000000005</v>
      </c>
      <c r="AP120" s="16"/>
      <c r="AQ120" s="16">
        <f t="shared" si="37"/>
        <v>637891.24</v>
      </c>
      <c r="AR120" s="4"/>
      <c r="AS120" s="20">
        <f t="shared" si="38"/>
        <v>0</v>
      </c>
      <c r="AT120" s="20"/>
      <c r="AU120" s="20">
        <f t="shared" si="39"/>
        <v>0</v>
      </c>
      <c r="AV120" s="20"/>
      <c r="AW120" s="20">
        <f t="shared" si="40"/>
        <v>0</v>
      </c>
      <c r="AX120" s="20"/>
      <c r="AY120" s="20">
        <f t="shared" si="41"/>
        <v>0</v>
      </c>
    </row>
    <row r="121" spans="1:51" x14ac:dyDescent="0.2">
      <c r="A121" s="1" t="s">
        <v>144</v>
      </c>
      <c r="C121" s="1" t="s">
        <v>823</v>
      </c>
      <c r="E121" s="16">
        <v>1852292.9</v>
      </c>
      <c r="F121" s="16"/>
      <c r="G121" s="16">
        <v>34484.400000000001</v>
      </c>
      <c r="H121" s="16"/>
      <c r="I121" s="16">
        <v>103901.15</v>
      </c>
      <c r="J121" s="16"/>
      <c r="K121" s="16">
        <v>358859.86</v>
      </c>
      <c r="L121" s="16"/>
      <c r="M121" s="16">
        <v>-1355047.49</v>
      </c>
      <c r="N121" s="16"/>
      <c r="O121" s="16">
        <f t="shared" si="34"/>
        <v>-1355047.4900000002</v>
      </c>
      <c r="P121" s="16"/>
      <c r="Q121" s="16">
        <v>443180.37</v>
      </c>
      <c r="R121" s="16"/>
      <c r="S121" s="16">
        <v>1065688.22</v>
      </c>
      <c r="T121" s="16"/>
      <c r="U121" s="16">
        <v>261974.85</v>
      </c>
      <c r="V121" s="16"/>
      <c r="W121" s="16">
        <v>9707.3799999999992</v>
      </c>
      <c r="X121" s="16"/>
      <c r="Y121" s="16">
        <v>0</v>
      </c>
      <c r="Z121" s="16"/>
      <c r="AA121" s="16">
        <v>339559.4</v>
      </c>
      <c r="AB121" s="16"/>
      <c r="AC121" s="16">
        <v>0</v>
      </c>
      <c r="AD121" s="16"/>
      <c r="AE121" s="16">
        <v>-187717.09</v>
      </c>
      <c r="AF121" s="16"/>
      <c r="AG121" s="16">
        <v>0</v>
      </c>
      <c r="AH121" s="16"/>
      <c r="AI121" s="16">
        <v>0</v>
      </c>
      <c r="AJ121" s="16"/>
      <c r="AK121" s="16">
        <f t="shared" si="35"/>
        <v>1932393.1299999997</v>
      </c>
      <c r="AL121" s="16"/>
      <c r="AM121" s="16">
        <f t="shared" si="36"/>
        <v>577345.63999999966</v>
      </c>
      <c r="AN121" s="16"/>
      <c r="AO121" s="16">
        <v>1684598.65</v>
      </c>
      <c r="AP121" s="16"/>
      <c r="AQ121" s="16">
        <f t="shared" si="37"/>
        <v>2261944.2899999996</v>
      </c>
      <c r="AR121" s="4"/>
      <c r="AS121" s="20">
        <f t="shared" si="38"/>
        <v>0</v>
      </c>
      <c r="AT121" s="20"/>
      <c r="AU121" s="20">
        <f t="shared" si="39"/>
        <v>0</v>
      </c>
      <c r="AV121" s="20"/>
      <c r="AW121" s="20">
        <f t="shared" si="40"/>
        <v>0</v>
      </c>
      <c r="AX121" s="20"/>
      <c r="AY121" s="20">
        <f t="shared" si="41"/>
        <v>0</v>
      </c>
    </row>
    <row r="122" spans="1:51" x14ac:dyDescent="0.2">
      <c r="A122" s="1" t="s">
        <v>173</v>
      </c>
      <c r="C122" s="1" t="s">
        <v>464</v>
      </c>
      <c r="E122" s="16">
        <v>183417.44</v>
      </c>
      <c r="F122" s="16"/>
      <c r="G122" s="16">
        <v>11203.61</v>
      </c>
      <c r="H122" s="16"/>
      <c r="I122" s="16">
        <v>21445.08</v>
      </c>
      <c r="J122" s="16"/>
      <c r="K122" s="16">
        <v>0</v>
      </c>
      <c r="L122" s="16"/>
      <c r="M122" s="16">
        <v>-150768.75</v>
      </c>
      <c r="N122" s="16"/>
      <c r="O122" s="16">
        <f t="shared" si="34"/>
        <v>-150768.75</v>
      </c>
      <c r="P122" s="16"/>
      <c r="Q122" s="16">
        <v>87128.51</v>
      </c>
      <c r="R122" s="16"/>
      <c r="S122" s="16">
        <v>0</v>
      </c>
      <c r="T122" s="16"/>
      <c r="U122" s="16">
        <v>24129.41</v>
      </c>
      <c r="V122" s="16"/>
      <c r="W122" s="16">
        <v>0</v>
      </c>
      <c r="X122" s="16"/>
      <c r="Y122" s="16">
        <v>0</v>
      </c>
      <c r="Z122" s="16"/>
      <c r="AA122" s="16">
        <v>47264.18</v>
      </c>
      <c r="AB122" s="16"/>
      <c r="AC122" s="16">
        <v>0</v>
      </c>
      <c r="AD122" s="16"/>
      <c r="AE122" s="16">
        <v>0</v>
      </c>
      <c r="AF122" s="16"/>
      <c r="AG122" s="16">
        <v>0</v>
      </c>
      <c r="AH122" s="16"/>
      <c r="AI122" s="16">
        <v>0</v>
      </c>
      <c r="AJ122" s="16"/>
      <c r="AK122" s="16">
        <f t="shared" si="35"/>
        <v>158522.1</v>
      </c>
      <c r="AL122" s="16"/>
      <c r="AM122" s="16">
        <f t="shared" si="36"/>
        <v>7753.3500000000058</v>
      </c>
      <c r="AN122" s="16"/>
      <c r="AO122" s="16">
        <v>178625.86</v>
      </c>
      <c r="AP122" s="16"/>
      <c r="AQ122" s="16">
        <f t="shared" si="37"/>
        <v>186379.21</v>
      </c>
      <c r="AR122" s="4"/>
      <c r="AS122" s="20">
        <f t="shared" si="38"/>
        <v>0</v>
      </c>
      <c r="AT122" s="20"/>
      <c r="AU122" s="20">
        <f t="shared" si="39"/>
        <v>0</v>
      </c>
      <c r="AV122" s="20"/>
      <c r="AW122" s="20">
        <f t="shared" si="40"/>
        <v>0</v>
      </c>
      <c r="AX122" s="20"/>
      <c r="AY122" s="20">
        <f t="shared" si="41"/>
        <v>0</v>
      </c>
    </row>
    <row r="123" spans="1:51" x14ac:dyDescent="0.2">
      <c r="A123" s="4" t="s">
        <v>815</v>
      </c>
      <c r="B123" s="4"/>
      <c r="C123" s="4" t="s">
        <v>351</v>
      </c>
      <c r="D123" s="4"/>
      <c r="E123" s="16">
        <v>2843342</v>
      </c>
      <c r="F123" s="16"/>
      <c r="G123" s="16">
        <v>355092</v>
      </c>
      <c r="H123" s="16"/>
      <c r="I123" s="16">
        <v>241420</v>
      </c>
      <c r="J123" s="16"/>
      <c r="K123" s="16">
        <v>549003</v>
      </c>
      <c r="L123" s="16"/>
      <c r="M123" s="16">
        <f>SUM(G123:K123)-E123</f>
        <v>-1697827</v>
      </c>
      <c r="N123" s="16"/>
      <c r="O123" s="16">
        <f t="shared" si="34"/>
        <v>-1697827</v>
      </c>
      <c r="P123" s="16"/>
      <c r="Q123" s="16">
        <v>549180</v>
      </c>
      <c r="R123" s="16"/>
      <c r="S123" s="16">
        <v>1245786</v>
      </c>
      <c r="T123" s="16"/>
      <c r="U123" s="16">
        <v>122273</v>
      </c>
      <c r="V123" s="16"/>
      <c r="W123" s="16">
        <v>1048</v>
      </c>
      <c r="X123" s="16"/>
      <c r="Y123" s="16">
        <v>0</v>
      </c>
      <c r="Z123" s="16"/>
      <c r="AA123" s="16">
        <v>35002</v>
      </c>
      <c r="AB123" s="16"/>
      <c r="AC123" s="16">
        <v>0</v>
      </c>
      <c r="AD123" s="16"/>
      <c r="AE123" s="16">
        <v>0</v>
      </c>
      <c r="AF123" s="16"/>
      <c r="AG123" s="16">
        <v>0</v>
      </c>
      <c r="AH123" s="16"/>
      <c r="AI123" s="16">
        <v>0</v>
      </c>
      <c r="AJ123" s="16"/>
      <c r="AK123" s="16">
        <f t="shared" si="35"/>
        <v>1953289</v>
      </c>
      <c r="AL123" s="16"/>
      <c r="AM123" s="16">
        <f t="shared" si="36"/>
        <v>255462</v>
      </c>
      <c r="AN123" s="16"/>
      <c r="AO123" s="16">
        <v>4985317</v>
      </c>
      <c r="AP123" s="16"/>
      <c r="AQ123" s="16">
        <f t="shared" si="37"/>
        <v>5240779</v>
      </c>
      <c r="AR123" s="4"/>
      <c r="AS123" s="20">
        <f t="shared" si="38"/>
        <v>0</v>
      </c>
      <c r="AT123" s="20"/>
      <c r="AU123" s="20">
        <f t="shared" si="39"/>
        <v>0</v>
      </c>
      <c r="AV123" s="20"/>
      <c r="AW123" s="20">
        <f t="shared" si="40"/>
        <v>0</v>
      </c>
      <c r="AX123" s="20"/>
      <c r="AY123" s="20">
        <f t="shared" si="41"/>
        <v>0</v>
      </c>
    </row>
    <row r="124" spans="1:51" x14ac:dyDescent="0.2">
      <c r="A124" s="1" t="s">
        <v>250</v>
      </c>
      <c r="C124" s="1" t="s">
        <v>467</v>
      </c>
      <c r="E124" s="16">
        <v>653648.01</v>
      </c>
      <c r="F124" s="16"/>
      <c r="G124" s="16">
        <v>165556.15</v>
      </c>
      <c r="H124" s="16"/>
      <c r="I124" s="16">
        <v>100385.52</v>
      </c>
      <c r="J124" s="16"/>
      <c r="K124" s="16">
        <v>456.45</v>
      </c>
      <c r="L124" s="16"/>
      <c r="M124" s="16">
        <v>-387249.89</v>
      </c>
      <c r="N124" s="16"/>
      <c r="O124" s="16">
        <f t="shared" si="34"/>
        <v>-387249.88999999996</v>
      </c>
      <c r="P124" s="16"/>
      <c r="Q124" s="16">
        <v>69090.62</v>
      </c>
      <c r="R124" s="16"/>
      <c r="S124" s="16">
        <v>253039.13</v>
      </c>
      <c r="T124" s="16"/>
      <c r="U124" s="16">
        <v>88878.13</v>
      </c>
      <c r="V124" s="16"/>
      <c r="W124" s="16">
        <v>0</v>
      </c>
      <c r="X124" s="16"/>
      <c r="Y124" s="16">
        <v>0</v>
      </c>
      <c r="Z124" s="16"/>
      <c r="AA124" s="16">
        <v>39385.01</v>
      </c>
      <c r="AB124" s="16"/>
      <c r="AC124" s="16">
        <v>0</v>
      </c>
      <c r="AD124" s="16"/>
      <c r="AE124" s="16">
        <v>0</v>
      </c>
      <c r="AF124" s="16"/>
      <c r="AG124" s="16">
        <v>0</v>
      </c>
      <c r="AH124" s="16"/>
      <c r="AI124" s="16">
        <v>0</v>
      </c>
      <c r="AJ124" s="16"/>
      <c r="AK124" s="16">
        <f t="shared" si="35"/>
        <v>450392.89</v>
      </c>
      <c r="AL124" s="16"/>
      <c r="AM124" s="16">
        <f t="shared" si="36"/>
        <v>63143</v>
      </c>
      <c r="AN124" s="16"/>
      <c r="AO124" s="16">
        <v>191148.29</v>
      </c>
      <c r="AP124" s="16"/>
      <c r="AQ124" s="16">
        <f t="shared" si="37"/>
        <v>254291.29</v>
      </c>
      <c r="AR124" s="4"/>
      <c r="AS124" s="20">
        <f t="shared" si="38"/>
        <v>0</v>
      </c>
      <c r="AT124" s="20"/>
      <c r="AU124" s="20">
        <f t="shared" si="39"/>
        <v>0</v>
      </c>
      <c r="AV124" s="20"/>
      <c r="AW124" s="20">
        <f t="shared" si="40"/>
        <v>5.8207660913467407E-11</v>
      </c>
      <c r="AX124" s="20"/>
      <c r="AY124" s="20">
        <f t="shared" si="41"/>
        <v>0</v>
      </c>
    </row>
    <row r="125" spans="1:51" x14ac:dyDescent="0.2">
      <c r="A125" s="1" t="s">
        <v>542</v>
      </c>
      <c r="C125" s="1" t="s">
        <v>541</v>
      </c>
      <c r="E125" s="16">
        <v>2142079.02</v>
      </c>
      <c r="F125" s="16"/>
      <c r="G125" s="16">
        <v>171424.28</v>
      </c>
      <c r="H125" s="16"/>
      <c r="I125" s="16">
        <v>140140.97</v>
      </c>
      <c r="J125" s="16"/>
      <c r="K125" s="16">
        <v>0</v>
      </c>
      <c r="L125" s="16"/>
      <c r="M125" s="16">
        <v>-1830513.77</v>
      </c>
      <c r="N125" s="16"/>
      <c r="O125" s="16">
        <f t="shared" si="34"/>
        <v>-1830513.77</v>
      </c>
      <c r="P125" s="16"/>
      <c r="Q125" s="16">
        <v>411636.89</v>
      </c>
      <c r="R125" s="16"/>
      <c r="S125" s="16">
        <v>1045625.3</v>
      </c>
      <c r="T125" s="16"/>
      <c r="U125" s="16">
        <v>22590.06</v>
      </c>
      <c r="V125" s="16"/>
      <c r="W125" s="16">
        <v>0</v>
      </c>
      <c r="X125" s="16"/>
      <c r="Y125" s="16">
        <v>0</v>
      </c>
      <c r="Z125" s="16"/>
      <c r="AA125" s="16">
        <v>258320.8</v>
      </c>
      <c r="AB125" s="16"/>
      <c r="AC125" s="16">
        <v>0</v>
      </c>
      <c r="AD125" s="16"/>
      <c r="AE125" s="16">
        <v>0</v>
      </c>
      <c r="AF125" s="16"/>
      <c r="AG125" s="16">
        <v>0</v>
      </c>
      <c r="AH125" s="16"/>
      <c r="AI125" s="16">
        <v>0</v>
      </c>
      <c r="AJ125" s="16"/>
      <c r="AK125" s="16">
        <f t="shared" si="35"/>
        <v>1738173.05</v>
      </c>
      <c r="AL125" s="16"/>
      <c r="AM125" s="16">
        <f t="shared" si="36"/>
        <v>-92340.719999999972</v>
      </c>
      <c r="AN125" s="16"/>
      <c r="AO125" s="16">
        <v>2658556.42</v>
      </c>
      <c r="AP125" s="16"/>
      <c r="AQ125" s="16">
        <f t="shared" si="37"/>
        <v>2566215.7000000002</v>
      </c>
      <c r="AR125" s="4"/>
      <c r="AS125" s="20">
        <f t="shared" si="38"/>
        <v>0</v>
      </c>
      <c r="AT125" s="20"/>
      <c r="AU125" s="20">
        <f t="shared" si="39"/>
        <v>0</v>
      </c>
      <c r="AV125" s="20"/>
      <c r="AW125" s="20">
        <f t="shared" si="40"/>
        <v>0</v>
      </c>
      <c r="AX125" s="20"/>
      <c r="AY125" s="20">
        <f t="shared" si="41"/>
        <v>0</v>
      </c>
    </row>
    <row r="126" spans="1:51" x14ac:dyDescent="0.2">
      <c r="A126" s="1" t="s">
        <v>202</v>
      </c>
      <c r="C126" s="1" t="s">
        <v>491</v>
      </c>
      <c r="E126" s="16">
        <v>65876.12</v>
      </c>
      <c r="F126" s="16"/>
      <c r="G126" s="16">
        <v>2660</v>
      </c>
      <c r="H126" s="16"/>
      <c r="I126" s="16">
        <v>4828.38</v>
      </c>
      <c r="J126" s="16"/>
      <c r="K126" s="16">
        <v>0</v>
      </c>
      <c r="L126" s="16"/>
      <c r="M126" s="16">
        <v>-58387.74</v>
      </c>
      <c r="N126" s="16"/>
      <c r="O126" s="16">
        <f t="shared" si="34"/>
        <v>-58387.74</v>
      </c>
      <c r="P126" s="16"/>
      <c r="Q126" s="16">
        <v>28614.62</v>
      </c>
      <c r="R126" s="16"/>
      <c r="S126" s="16">
        <v>0</v>
      </c>
      <c r="T126" s="16"/>
      <c r="U126" s="16">
        <v>15964.28</v>
      </c>
      <c r="V126" s="16"/>
      <c r="W126" s="16">
        <v>0</v>
      </c>
      <c r="X126" s="16"/>
      <c r="Y126" s="16">
        <v>185.43</v>
      </c>
      <c r="Z126" s="16"/>
      <c r="AA126" s="16">
        <v>547.83000000000004</v>
      </c>
      <c r="AB126" s="16"/>
      <c r="AC126" s="16">
        <v>0</v>
      </c>
      <c r="AD126" s="16"/>
      <c r="AE126" s="16">
        <v>20000</v>
      </c>
      <c r="AF126" s="16"/>
      <c r="AG126" s="16">
        <v>0</v>
      </c>
      <c r="AH126" s="16"/>
      <c r="AI126" s="16">
        <v>0</v>
      </c>
      <c r="AJ126" s="16"/>
      <c r="AK126" s="16">
        <f t="shared" si="35"/>
        <v>65312.160000000003</v>
      </c>
      <c r="AL126" s="16"/>
      <c r="AM126" s="16">
        <f t="shared" si="36"/>
        <v>6924.4200000000055</v>
      </c>
      <c r="AN126" s="16"/>
      <c r="AO126" s="16">
        <v>127285.01</v>
      </c>
      <c r="AP126" s="16"/>
      <c r="AQ126" s="16">
        <f t="shared" si="37"/>
        <v>134209.43</v>
      </c>
      <c r="AR126" s="4"/>
      <c r="AS126" s="20">
        <f t="shared" si="38"/>
        <v>0</v>
      </c>
      <c r="AT126" s="20"/>
      <c r="AU126" s="20">
        <f t="shared" si="39"/>
        <v>0</v>
      </c>
      <c r="AV126" s="20"/>
      <c r="AW126" s="20">
        <f t="shared" si="40"/>
        <v>0</v>
      </c>
      <c r="AX126" s="20"/>
      <c r="AY126" s="20">
        <f t="shared" si="41"/>
        <v>0</v>
      </c>
    </row>
    <row r="127" spans="1:51" x14ac:dyDescent="0.2">
      <c r="A127" s="1" t="s">
        <v>710</v>
      </c>
      <c r="C127" s="1" t="s">
        <v>226</v>
      </c>
      <c r="E127" s="16">
        <v>26809.94</v>
      </c>
      <c r="F127" s="16"/>
      <c r="G127" s="16">
        <v>0</v>
      </c>
      <c r="H127" s="16"/>
      <c r="I127" s="16">
        <v>4921.3100000000004</v>
      </c>
      <c r="J127" s="16"/>
      <c r="K127" s="16">
        <v>0</v>
      </c>
      <c r="L127" s="16"/>
      <c r="M127" s="16">
        <v>-21888.63</v>
      </c>
      <c r="N127" s="16"/>
      <c r="O127" s="16">
        <f t="shared" si="34"/>
        <v>-21888.629999999997</v>
      </c>
      <c r="P127" s="16"/>
      <c r="Q127" s="16">
        <v>11816.61</v>
      </c>
      <c r="R127" s="16"/>
      <c r="S127" s="16">
        <v>0</v>
      </c>
      <c r="T127" s="16"/>
      <c r="U127" s="16">
        <v>12141.54</v>
      </c>
      <c r="V127" s="16"/>
      <c r="W127" s="16">
        <v>42.81</v>
      </c>
      <c r="X127" s="16"/>
      <c r="Y127" s="16">
        <v>925.07</v>
      </c>
      <c r="Z127" s="16"/>
      <c r="AA127" s="16">
        <v>761.88</v>
      </c>
      <c r="AB127" s="16"/>
      <c r="AC127" s="16">
        <v>0</v>
      </c>
      <c r="AD127" s="16"/>
      <c r="AE127" s="16">
        <v>0</v>
      </c>
      <c r="AF127" s="16"/>
      <c r="AG127" s="16">
        <v>0</v>
      </c>
      <c r="AH127" s="16"/>
      <c r="AI127" s="16">
        <v>13946.1</v>
      </c>
      <c r="AJ127" s="16"/>
      <c r="AK127" s="16">
        <f t="shared" si="35"/>
        <v>39634.01</v>
      </c>
      <c r="AL127" s="16"/>
      <c r="AM127" s="16">
        <f t="shared" si="36"/>
        <v>17745.38</v>
      </c>
      <c r="AN127" s="16"/>
      <c r="AO127" s="16">
        <v>65090.73</v>
      </c>
      <c r="AP127" s="16"/>
      <c r="AQ127" s="16">
        <f t="shared" si="37"/>
        <v>82836.11</v>
      </c>
      <c r="AR127" s="4"/>
      <c r="AS127" s="20">
        <f t="shared" si="38"/>
        <v>0</v>
      </c>
      <c r="AT127" s="20"/>
      <c r="AU127" s="20">
        <f t="shared" si="39"/>
        <v>0</v>
      </c>
      <c r="AV127" s="20"/>
      <c r="AW127" s="20">
        <f t="shared" si="40"/>
        <v>0</v>
      </c>
      <c r="AX127" s="20"/>
      <c r="AY127" s="20">
        <f t="shared" si="41"/>
        <v>0</v>
      </c>
    </row>
    <row r="128" spans="1:51" x14ac:dyDescent="0.2">
      <c r="A128" s="1" t="s">
        <v>80</v>
      </c>
      <c r="C128" s="1" t="s">
        <v>345</v>
      </c>
      <c r="E128" s="16">
        <v>673839.14</v>
      </c>
      <c r="F128" s="16"/>
      <c r="G128" s="16">
        <v>6315</v>
      </c>
      <c r="H128" s="16"/>
      <c r="I128" s="16">
        <v>71335.179999999993</v>
      </c>
      <c r="J128" s="16"/>
      <c r="K128" s="16">
        <v>4248</v>
      </c>
      <c r="L128" s="16"/>
      <c r="M128" s="16">
        <v>-591940.96</v>
      </c>
      <c r="N128" s="16"/>
      <c r="O128" s="16">
        <f t="shared" si="34"/>
        <v>-591940.96</v>
      </c>
      <c r="P128" s="16"/>
      <c r="Q128" s="16">
        <v>72209.98</v>
      </c>
      <c r="R128" s="16"/>
      <c r="S128" s="16">
        <v>0</v>
      </c>
      <c r="T128" s="16"/>
      <c r="U128" s="16">
        <v>522912.71</v>
      </c>
      <c r="V128" s="16"/>
      <c r="W128" s="16">
        <v>0</v>
      </c>
      <c r="X128" s="16"/>
      <c r="Y128" s="16">
        <v>30028.240000000002</v>
      </c>
      <c r="Z128" s="16"/>
      <c r="AA128" s="16">
        <v>0</v>
      </c>
      <c r="AB128" s="16"/>
      <c r="AC128" s="16">
        <v>0</v>
      </c>
      <c r="AD128" s="16"/>
      <c r="AE128" s="16">
        <v>0</v>
      </c>
      <c r="AF128" s="16"/>
      <c r="AG128" s="16">
        <v>0</v>
      </c>
      <c r="AH128" s="16"/>
      <c r="AI128" s="16">
        <v>0</v>
      </c>
      <c r="AJ128" s="16"/>
      <c r="AK128" s="16">
        <f t="shared" si="35"/>
        <v>625150.93000000005</v>
      </c>
      <c r="AL128" s="16"/>
      <c r="AM128" s="16">
        <f t="shared" si="36"/>
        <v>33209.970000000088</v>
      </c>
      <c r="AN128" s="16"/>
      <c r="AO128" s="16">
        <v>191157.75</v>
      </c>
      <c r="AP128" s="16"/>
      <c r="AQ128" s="16">
        <f t="shared" si="37"/>
        <v>224367.72000000009</v>
      </c>
      <c r="AR128" s="4"/>
      <c r="AS128" s="20">
        <f t="shared" si="38"/>
        <v>0</v>
      </c>
      <c r="AT128" s="20"/>
      <c r="AU128" s="20">
        <f t="shared" si="39"/>
        <v>0</v>
      </c>
      <c r="AV128" s="20"/>
      <c r="AW128" s="20">
        <f t="shared" si="40"/>
        <v>0</v>
      </c>
      <c r="AX128" s="20"/>
      <c r="AY128" s="20">
        <f t="shared" si="41"/>
        <v>0</v>
      </c>
    </row>
    <row r="129" spans="1:51" x14ac:dyDescent="0.2">
      <c r="A129" s="4" t="s">
        <v>837</v>
      </c>
      <c r="B129" s="4"/>
      <c r="C129" s="4" t="s">
        <v>351</v>
      </c>
      <c r="D129" s="4"/>
      <c r="E129" s="16">
        <v>15868521</v>
      </c>
      <c r="F129" s="16"/>
      <c r="G129" s="16">
        <v>1090747</v>
      </c>
      <c r="H129" s="16"/>
      <c r="I129" s="16">
        <v>205089</v>
      </c>
      <c r="J129" s="16"/>
      <c r="K129" s="16">
        <v>755000</v>
      </c>
      <c r="L129" s="16"/>
      <c r="M129" s="16">
        <f>SUM(G129:K129)-E129</f>
        <v>-13817685</v>
      </c>
      <c r="N129" s="16"/>
      <c r="O129" s="16">
        <f t="shared" si="34"/>
        <v>-13817685</v>
      </c>
      <c r="P129" s="16"/>
      <c r="Q129" s="16">
        <v>976548</v>
      </c>
      <c r="R129" s="16"/>
      <c r="S129" s="16">
        <v>9262607</v>
      </c>
      <c r="T129" s="16"/>
      <c r="U129" s="16">
        <v>672386</v>
      </c>
      <c r="V129" s="16"/>
      <c r="W129" s="16">
        <v>19607</v>
      </c>
      <c r="X129" s="16"/>
      <c r="Y129" s="16">
        <v>0</v>
      </c>
      <c r="Z129" s="16"/>
      <c r="AA129" s="16">
        <v>216054</v>
      </c>
      <c r="AB129" s="16"/>
      <c r="AC129" s="16">
        <v>0</v>
      </c>
      <c r="AD129" s="16"/>
      <c r="AE129" s="16">
        <v>0</v>
      </c>
      <c r="AF129" s="16"/>
      <c r="AG129" s="16">
        <v>0</v>
      </c>
      <c r="AH129" s="16"/>
      <c r="AI129" s="16">
        <v>0</v>
      </c>
      <c r="AJ129" s="16"/>
      <c r="AK129" s="16">
        <f t="shared" si="35"/>
        <v>11147202</v>
      </c>
      <c r="AL129" s="16"/>
      <c r="AM129" s="16">
        <f t="shared" si="36"/>
        <v>-2670483</v>
      </c>
      <c r="AN129" s="16"/>
      <c r="AO129" s="16">
        <v>23030394</v>
      </c>
      <c r="AP129" s="16"/>
      <c r="AQ129" s="16">
        <f t="shared" si="37"/>
        <v>20359911</v>
      </c>
      <c r="AR129" s="4"/>
      <c r="AS129" s="20">
        <f t="shared" si="38"/>
        <v>0</v>
      </c>
      <c r="AT129" s="20"/>
      <c r="AU129" s="20">
        <f t="shared" si="39"/>
        <v>0</v>
      </c>
      <c r="AV129" s="20"/>
      <c r="AW129" s="20">
        <f t="shared" si="40"/>
        <v>0</v>
      </c>
      <c r="AX129" s="20"/>
      <c r="AY129" s="20">
        <f t="shared" si="41"/>
        <v>0</v>
      </c>
    </row>
    <row r="130" spans="1:51" x14ac:dyDescent="0.2">
      <c r="A130" s="1" t="s">
        <v>854</v>
      </c>
      <c r="C130" s="1" t="s">
        <v>433</v>
      </c>
      <c r="E130" s="16">
        <v>1174065.25</v>
      </c>
      <c r="F130" s="16"/>
      <c r="G130" s="16">
        <v>38006.839999999997</v>
      </c>
      <c r="H130" s="16"/>
      <c r="I130" s="16">
        <v>130252.73</v>
      </c>
      <c r="J130" s="16"/>
      <c r="K130" s="16">
        <v>0</v>
      </c>
      <c r="L130" s="16"/>
      <c r="M130" s="16">
        <v>-1005805.68</v>
      </c>
      <c r="N130" s="16"/>
      <c r="O130" s="16">
        <f t="shared" si="34"/>
        <v>-1005805.6799999999</v>
      </c>
      <c r="P130" s="16"/>
      <c r="Q130" s="16">
        <v>96615.27</v>
      </c>
      <c r="R130" s="16"/>
      <c r="S130" s="16">
        <v>794365.13</v>
      </c>
      <c r="T130" s="16"/>
      <c r="U130" s="16">
        <v>100387.46</v>
      </c>
      <c r="V130" s="16"/>
      <c r="W130" s="16">
        <v>14297.15</v>
      </c>
      <c r="X130" s="16"/>
      <c r="Y130" s="16">
        <v>30567.07</v>
      </c>
      <c r="Z130" s="16"/>
      <c r="AA130" s="16">
        <v>35530</v>
      </c>
      <c r="AB130" s="16"/>
      <c r="AC130" s="16">
        <v>40000</v>
      </c>
      <c r="AD130" s="16"/>
      <c r="AE130" s="16">
        <v>0</v>
      </c>
      <c r="AF130" s="16"/>
      <c r="AG130" s="16">
        <v>0</v>
      </c>
      <c r="AH130" s="16"/>
      <c r="AI130" s="16">
        <v>0</v>
      </c>
      <c r="AJ130" s="16"/>
      <c r="AK130" s="16">
        <f t="shared" si="35"/>
        <v>1111762.08</v>
      </c>
      <c r="AL130" s="16"/>
      <c r="AM130" s="16">
        <f t="shared" si="36"/>
        <v>105956.40000000002</v>
      </c>
      <c r="AN130" s="16"/>
      <c r="AO130" s="16">
        <v>1064074.55</v>
      </c>
      <c r="AP130" s="16"/>
      <c r="AQ130" s="16">
        <f t="shared" si="37"/>
        <v>1170030.9500000002</v>
      </c>
      <c r="AR130" s="4"/>
      <c r="AS130" s="20">
        <f t="shared" si="38"/>
        <v>0</v>
      </c>
      <c r="AT130" s="20"/>
      <c r="AU130" s="20">
        <f t="shared" si="39"/>
        <v>0</v>
      </c>
      <c r="AV130" s="20"/>
      <c r="AW130" s="20">
        <f t="shared" si="40"/>
        <v>1.1641532182693481E-10</v>
      </c>
      <c r="AX130" s="20"/>
      <c r="AY130" s="20">
        <f t="shared" si="41"/>
        <v>0</v>
      </c>
    </row>
    <row r="131" spans="1:51" x14ac:dyDescent="0.2">
      <c r="A131" s="1" t="s">
        <v>810</v>
      </c>
      <c r="C131" s="1" t="s">
        <v>327</v>
      </c>
      <c r="E131" s="16">
        <v>65108.160000000003</v>
      </c>
      <c r="F131" s="16"/>
      <c r="G131" s="16">
        <v>0</v>
      </c>
      <c r="H131" s="16"/>
      <c r="I131" s="16">
        <v>26619.98</v>
      </c>
      <c r="J131" s="16"/>
      <c r="K131" s="16">
        <v>0</v>
      </c>
      <c r="L131" s="16"/>
      <c r="M131" s="16">
        <v>-38488.18</v>
      </c>
      <c r="N131" s="16"/>
      <c r="O131" s="16">
        <f t="shared" si="34"/>
        <v>-38488.180000000008</v>
      </c>
      <c r="P131" s="16"/>
      <c r="Q131" s="16">
        <v>45000.84</v>
      </c>
      <c r="R131" s="16"/>
      <c r="S131" s="16">
        <v>0</v>
      </c>
      <c r="T131" s="16"/>
      <c r="U131" s="16">
        <v>6802.19</v>
      </c>
      <c r="V131" s="16"/>
      <c r="W131" s="16">
        <v>412.2</v>
      </c>
      <c r="X131" s="16"/>
      <c r="Y131" s="16">
        <v>3176.44</v>
      </c>
      <c r="Z131" s="16"/>
      <c r="AA131" s="16">
        <v>1301.24</v>
      </c>
      <c r="AB131" s="16"/>
      <c r="AC131" s="16">
        <v>0</v>
      </c>
      <c r="AD131" s="16"/>
      <c r="AE131" s="16">
        <v>0</v>
      </c>
      <c r="AF131" s="16"/>
      <c r="AG131" s="16">
        <v>0</v>
      </c>
      <c r="AH131" s="16"/>
      <c r="AI131" s="16">
        <v>0</v>
      </c>
      <c r="AJ131" s="16"/>
      <c r="AK131" s="16">
        <f t="shared" si="35"/>
        <v>56692.909999999996</v>
      </c>
      <c r="AL131" s="16"/>
      <c r="AM131" s="16">
        <f t="shared" si="36"/>
        <v>18204.729999999996</v>
      </c>
      <c r="AN131" s="16"/>
      <c r="AO131" s="16">
        <v>226388.07</v>
      </c>
      <c r="AP131" s="16"/>
      <c r="AQ131" s="16">
        <f t="shared" si="37"/>
        <v>244592.8</v>
      </c>
      <c r="AR131" s="4"/>
      <c r="AS131" s="20">
        <f t="shared" si="38"/>
        <v>0</v>
      </c>
      <c r="AT131" s="20"/>
      <c r="AU131" s="20">
        <f t="shared" si="39"/>
        <v>0</v>
      </c>
      <c r="AV131" s="20"/>
      <c r="AW131" s="20">
        <f t="shared" si="40"/>
        <v>0</v>
      </c>
      <c r="AX131" s="20"/>
      <c r="AY131" s="20">
        <f t="shared" si="41"/>
        <v>0</v>
      </c>
    </row>
    <row r="132" spans="1:51" x14ac:dyDescent="0.2">
      <c r="A132" s="1" t="s">
        <v>181</v>
      </c>
      <c r="C132" s="1" t="s">
        <v>241</v>
      </c>
      <c r="E132" s="16">
        <v>117306.66</v>
      </c>
      <c r="F132" s="16"/>
      <c r="G132" s="16">
        <v>3343.37</v>
      </c>
      <c r="H132" s="16"/>
      <c r="I132" s="16">
        <v>10424.84</v>
      </c>
      <c r="J132" s="16"/>
      <c r="K132" s="16">
        <v>0</v>
      </c>
      <c r="L132" s="16"/>
      <c r="M132" s="16">
        <v>-103538.45</v>
      </c>
      <c r="N132" s="16"/>
      <c r="O132" s="16">
        <f t="shared" si="34"/>
        <v>-103538.45000000001</v>
      </c>
      <c r="P132" s="16"/>
      <c r="Q132" s="16">
        <v>57499.26</v>
      </c>
      <c r="R132" s="16"/>
      <c r="S132" s="16">
        <v>0</v>
      </c>
      <c r="T132" s="16"/>
      <c r="U132" s="16">
        <v>34183.83</v>
      </c>
      <c r="V132" s="16"/>
      <c r="W132" s="16">
        <v>47.93</v>
      </c>
      <c r="X132" s="16"/>
      <c r="Y132" s="16">
        <v>0</v>
      </c>
      <c r="Z132" s="16"/>
      <c r="AA132" s="16">
        <v>0</v>
      </c>
      <c r="AB132" s="16"/>
      <c r="AC132" s="16">
        <v>0</v>
      </c>
      <c r="AD132" s="16"/>
      <c r="AE132" s="16">
        <v>0</v>
      </c>
      <c r="AF132" s="16"/>
      <c r="AG132" s="16">
        <v>0</v>
      </c>
      <c r="AH132" s="16"/>
      <c r="AI132" s="16">
        <v>0</v>
      </c>
      <c r="AJ132" s="16"/>
      <c r="AK132" s="16">
        <f t="shared" si="35"/>
        <v>91731.01999999999</v>
      </c>
      <c r="AL132" s="16"/>
      <c r="AM132" s="16">
        <f t="shared" si="36"/>
        <v>-11807.430000000008</v>
      </c>
      <c r="AN132" s="16"/>
      <c r="AO132" s="16">
        <v>268954.23999999999</v>
      </c>
      <c r="AP132" s="16"/>
      <c r="AQ132" s="16">
        <f t="shared" si="37"/>
        <v>257146.81</v>
      </c>
      <c r="AR132" s="4"/>
      <c r="AS132" s="20">
        <f t="shared" si="38"/>
        <v>0</v>
      </c>
      <c r="AT132" s="20"/>
      <c r="AU132" s="20">
        <f t="shared" si="39"/>
        <v>0</v>
      </c>
      <c r="AV132" s="20"/>
      <c r="AW132" s="20">
        <f t="shared" si="40"/>
        <v>-1.4551915228366852E-11</v>
      </c>
      <c r="AX132" s="20"/>
      <c r="AY132" s="20">
        <f t="shared" si="41"/>
        <v>0</v>
      </c>
    </row>
    <row r="133" spans="1:51" x14ac:dyDescent="0.2">
      <c r="A133" s="1" t="s">
        <v>45</v>
      </c>
      <c r="C133" s="1" t="s">
        <v>283</v>
      </c>
      <c r="E133" s="16">
        <v>23074.71</v>
      </c>
      <c r="F133" s="16"/>
      <c r="G133" s="16">
        <v>541.29999999999995</v>
      </c>
      <c r="H133" s="16"/>
      <c r="I133" s="16">
        <v>816.67</v>
      </c>
      <c r="J133" s="16"/>
      <c r="K133" s="16">
        <v>0</v>
      </c>
      <c r="L133" s="16"/>
      <c r="M133" s="16">
        <v>-21716.74</v>
      </c>
      <c r="N133" s="16"/>
      <c r="O133" s="16">
        <f t="shared" si="34"/>
        <v>-21716.74</v>
      </c>
      <c r="P133" s="16"/>
      <c r="Q133" s="16">
        <v>6192.25</v>
      </c>
      <c r="R133" s="16"/>
      <c r="S133" s="16">
        <v>0</v>
      </c>
      <c r="T133" s="16"/>
      <c r="U133" s="16">
        <v>12319.37</v>
      </c>
      <c r="V133" s="16"/>
      <c r="W133" s="16">
        <v>0</v>
      </c>
      <c r="X133" s="16"/>
      <c r="Y133" s="16">
        <v>0</v>
      </c>
      <c r="Z133" s="16"/>
      <c r="AA133" s="16">
        <v>62.7</v>
      </c>
      <c r="AB133" s="16"/>
      <c r="AC133" s="16">
        <v>0</v>
      </c>
      <c r="AD133" s="16"/>
      <c r="AE133" s="16">
        <v>0</v>
      </c>
      <c r="AF133" s="16"/>
      <c r="AG133" s="16">
        <v>0</v>
      </c>
      <c r="AH133" s="16"/>
      <c r="AI133" s="16">
        <v>0</v>
      </c>
      <c r="AJ133" s="16"/>
      <c r="AK133" s="16">
        <f t="shared" si="35"/>
        <v>18574.320000000003</v>
      </c>
      <c r="AL133" s="16"/>
      <c r="AM133" s="16">
        <f t="shared" si="36"/>
        <v>-3142.4199999999983</v>
      </c>
      <c r="AN133" s="16"/>
      <c r="AO133" s="16">
        <v>20765.09</v>
      </c>
      <c r="AP133" s="16"/>
      <c r="AQ133" s="16">
        <f t="shared" si="37"/>
        <v>17622.670000000002</v>
      </c>
      <c r="AR133" s="4"/>
      <c r="AS133" s="20">
        <f t="shared" si="38"/>
        <v>0</v>
      </c>
      <c r="AT133" s="20"/>
      <c r="AU133" s="20">
        <f t="shared" si="39"/>
        <v>0</v>
      </c>
      <c r="AV133" s="20"/>
      <c r="AW133" s="20">
        <f t="shared" si="40"/>
        <v>0</v>
      </c>
      <c r="AX133" s="20"/>
      <c r="AY133" s="20">
        <f t="shared" si="41"/>
        <v>0</v>
      </c>
    </row>
    <row r="134" spans="1:51" x14ac:dyDescent="0.2">
      <c r="A134" s="4" t="s">
        <v>323</v>
      </c>
      <c r="B134" s="4"/>
      <c r="C134" s="4" t="s">
        <v>320</v>
      </c>
      <c r="D134" s="4"/>
      <c r="E134" s="16">
        <v>3623879</v>
      </c>
      <c r="F134" s="16"/>
      <c r="G134" s="16">
        <v>678646</v>
      </c>
      <c r="H134" s="16"/>
      <c r="I134" s="16">
        <v>18095</v>
      </c>
      <c r="J134" s="16"/>
      <c r="K134" s="16">
        <v>0</v>
      </c>
      <c r="L134" s="16"/>
      <c r="M134" s="16">
        <f>SUM(G134:K134)-E134</f>
        <v>-2927138</v>
      </c>
      <c r="N134" s="16"/>
      <c r="O134" s="16">
        <f t="shared" si="34"/>
        <v>-2927138</v>
      </c>
      <c r="P134" s="16"/>
      <c r="Q134" s="16">
        <f>323536+2190189-1287271</f>
        <v>1226454</v>
      </c>
      <c r="R134" s="16"/>
      <c r="S134" s="16">
        <v>2235542</v>
      </c>
      <c r="T134" s="16"/>
      <c r="U134" s="16">
        <v>124348</v>
      </c>
      <c r="V134" s="16"/>
      <c r="W134" s="16">
        <v>18393</v>
      </c>
      <c r="X134" s="16"/>
      <c r="Y134" s="16">
        <v>0</v>
      </c>
      <c r="Z134" s="16"/>
      <c r="AA134" s="16">
        <v>5129</v>
      </c>
      <c r="AB134" s="16"/>
      <c r="AC134" s="16">
        <v>-8500</v>
      </c>
      <c r="AD134" s="16"/>
      <c r="AE134" s="16">
        <v>27400</v>
      </c>
      <c r="AF134" s="16"/>
      <c r="AG134" s="16">
        <v>0</v>
      </c>
      <c r="AH134" s="16"/>
      <c r="AI134" s="16">
        <v>0</v>
      </c>
      <c r="AJ134" s="16"/>
      <c r="AK134" s="16">
        <f t="shared" si="35"/>
        <v>3628766</v>
      </c>
      <c r="AL134" s="16"/>
      <c r="AM134" s="16">
        <f t="shared" si="36"/>
        <v>701628</v>
      </c>
      <c r="AN134" s="16"/>
      <c r="AO134" s="16">
        <v>3949838</v>
      </c>
      <c r="AP134" s="16"/>
      <c r="AQ134" s="16">
        <f t="shared" si="37"/>
        <v>4651466</v>
      </c>
      <c r="AR134" s="4"/>
      <c r="AS134" s="20">
        <f t="shared" si="38"/>
        <v>0</v>
      </c>
      <c r="AT134" s="20"/>
      <c r="AU134" s="20">
        <f t="shared" si="39"/>
        <v>0</v>
      </c>
      <c r="AV134" s="20"/>
      <c r="AW134" s="20">
        <f t="shared" si="40"/>
        <v>0</v>
      </c>
      <c r="AX134" s="20"/>
      <c r="AY134" s="20">
        <f t="shared" si="41"/>
        <v>0</v>
      </c>
    </row>
    <row r="135" spans="1:51" x14ac:dyDescent="0.2">
      <c r="A135" s="1" t="s">
        <v>521</v>
      </c>
      <c r="C135" s="1" t="s">
        <v>521</v>
      </c>
      <c r="E135" s="16">
        <v>408974.95</v>
      </c>
      <c r="F135" s="16"/>
      <c r="G135" s="16">
        <v>78991.8</v>
      </c>
      <c r="H135" s="16"/>
      <c r="I135" s="16">
        <v>59707.61</v>
      </c>
      <c r="J135" s="16"/>
      <c r="K135" s="16">
        <v>19901.7</v>
      </c>
      <c r="L135" s="16"/>
      <c r="M135" s="16">
        <v>-250373.84</v>
      </c>
      <c r="N135" s="16"/>
      <c r="O135" s="16">
        <f t="shared" si="34"/>
        <v>-250373.84000000003</v>
      </c>
      <c r="P135" s="16"/>
      <c r="Q135" s="16">
        <v>118347.01</v>
      </c>
      <c r="R135" s="16"/>
      <c r="S135" s="16">
        <v>67886.64</v>
      </c>
      <c r="T135" s="16"/>
      <c r="U135" s="16">
        <v>0</v>
      </c>
      <c r="V135" s="16"/>
      <c r="W135" s="16">
        <v>1058.6199999999999</v>
      </c>
      <c r="X135" s="16"/>
      <c r="Y135" s="16">
        <v>0</v>
      </c>
      <c r="Z135" s="16"/>
      <c r="AA135" s="16">
        <v>5872.81</v>
      </c>
      <c r="AB135" s="16"/>
      <c r="AC135" s="16">
        <v>9548</v>
      </c>
      <c r="AD135" s="16"/>
      <c r="AE135" s="16">
        <v>0</v>
      </c>
      <c r="AF135" s="16"/>
      <c r="AG135" s="16">
        <v>0</v>
      </c>
      <c r="AH135" s="16"/>
      <c r="AI135" s="16">
        <v>0</v>
      </c>
      <c r="AJ135" s="16"/>
      <c r="AK135" s="16">
        <f t="shared" si="35"/>
        <v>202713.08</v>
      </c>
      <c r="AL135" s="16"/>
      <c r="AM135" s="16">
        <f t="shared" si="36"/>
        <v>-47660.760000000009</v>
      </c>
      <c r="AN135" s="16"/>
      <c r="AO135" s="16">
        <v>347905.78</v>
      </c>
      <c r="AP135" s="16"/>
      <c r="AQ135" s="16">
        <f t="shared" si="37"/>
        <v>300245.02</v>
      </c>
      <c r="AR135" s="4"/>
      <c r="AS135" s="20">
        <f t="shared" si="38"/>
        <v>0</v>
      </c>
      <c r="AT135" s="20"/>
      <c r="AU135" s="20">
        <f t="shared" si="39"/>
        <v>0</v>
      </c>
      <c r="AV135" s="20"/>
      <c r="AW135" s="20">
        <f t="shared" si="40"/>
        <v>0</v>
      </c>
      <c r="AX135" s="20"/>
      <c r="AY135" s="20">
        <f t="shared" si="41"/>
        <v>0</v>
      </c>
    </row>
    <row r="136" spans="1:51" x14ac:dyDescent="0.2">
      <c r="A136" s="1" t="s">
        <v>530</v>
      </c>
      <c r="C136" s="1" t="s">
        <v>531</v>
      </c>
      <c r="E136" s="16">
        <v>18268.490000000002</v>
      </c>
      <c r="F136" s="16"/>
      <c r="G136" s="16">
        <v>1876</v>
      </c>
      <c r="H136" s="16"/>
      <c r="I136" s="16">
        <v>14873.83</v>
      </c>
      <c r="J136" s="16"/>
      <c r="K136" s="16">
        <v>0</v>
      </c>
      <c r="L136" s="16"/>
      <c r="M136" s="16">
        <v>-1518.66</v>
      </c>
      <c r="N136" s="16"/>
      <c r="O136" s="16">
        <f t="shared" si="34"/>
        <v>-1518.6600000000017</v>
      </c>
      <c r="P136" s="16"/>
      <c r="Q136" s="16">
        <v>7801.38</v>
      </c>
      <c r="R136" s="16"/>
      <c r="S136" s="16">
        <v>0</v>
      </c>
      <c r="T136" s="16"/>
      <c r="U136" s="16">
        <v>4795.95</v>
      </c>
      <c r="V136" s="16"/>
      <c r="W136" s="16">
        <v>6.03</v>
      </c>
      <c r="X136" s="16"/>
      <c r="Y136" s="16">
        <v>0</v>
      </c>
      <c r="Z136" s="16"/>
      <c r="AA136" s="16">
        <v>127.51</v>
      </c>
      <c r="AB136" s="16"/>
      <c r="AC136" s="16">
        <v>0</v>
      </c>
      <c r="AD136" s="16"/>
      <c r="AE136" s="16">
        <v>0</v>
      </c>
      <c r="AF136" s="16"/>
      <c r="AG136" s="16">
        <v>0</v>
      </c>
      <c r="AH136" s="16"/>
      <c r="AI136" s="16">
        <v>0</v>
      </c>
      <c r="AJ136" s="16"/>
      <c r="AK136" s="16">
        <f t="shared" si="35"/>
        <v>12730.87</v>
      </c>
      <c r="AL136" s="16"/>
      <c r="AM136" s="16">
        <f t="shared" si="36"/>
        <v>11212.210000000001</v>
      </c>
      <c r="AN136" s="16"/>
      <c r="AO136" s="16">
        <v>105609.16</v>
      </c>
      <c r="AP136" s="16"/>
      <c r="AQ136" s="16">
        <f t="shared" si="37"/>
        <v>116821.37000000001</v>
      </c>
      <c r="AR136" s="4"/>
      <c r="AS136" s="20">
        <f t="shared" si="38"/>
        <v>0</v>
      </c>
      <c r="AT136" s="20"/>
      <c r="AU136" s="20">
        <f t="shared" si="39"/>
        <v>0</v>
      </c>
      <c r="AV136" s="20"/>
      <c r="AW136" s="20">
        <f t="shared" si="40"/>
        <v>0</v>
      </c>
      <c r="AX136" s="20"/>
      <c r="AY136" s="20">
        <f t="shared" si="41"/>
        <v>0</v>
      </c>
    </row>
    <row r="137" spans="1:51" x14ac:dyDescent="0.2">
      <c r="A137" s="1" t="s">
        <v>141</v>
      </c>
      <c r="C137" s="1" t="s">
        <v>430</v>
      </c>
      <c r="E137" s="16">
        <v>83880.33</v>
      </c>
      <c r="F137" s="16"/>
      <c r="G137" s="16">
        <v>565</v>
      </c>
      <c r="H137" s="16"/>
      <c r="I137" s="16">
        <v>13889.28</v>
      </c>
      <c r="J137" s="16"/>
      <c r="K137" s="16">
        <v>0</v>
      </c>
      <c r="L137" s="16"/>
      <c r="M137" s="16">
        <v>-69426.05</v>
      </c>
      <c r="N137" s="16"/>
      <c r="O137" s="16">
        <f t="shared" si="34"/>
        <v>-69426.05</v>
      </c>
      <c r="P137" s="16"/>
      <c r="Q137" s="16">
        <v>35884.86</v>
      </c>
      <c r="R137" s="16"/>
      <c r="S137" s="16">
        <v>0</v>
      </c>
      <c r="T137" s="16"/>
      <c r="U137" s="16">
        <v>15160.47</v>
      </c>
      <c r="V137" s="16"/>
      <c r="W137" s="16">
        <v>0</v>
      </c>
      <c r="X137" s="16"/>
      <c r="Y137" s="16">
        <v>0</v>
      </c>
      <c r="Z137" s="16"/>
      <c r="AA137" s="16">
        <v>5536.93</v>
      </c>
      <c r="AB137" s="16"/>
      <c r="AC137" s="16">
        <v>0</v>
      </c>
      <c r="AD137" s="16"/>
      <c r="AE137" s="16">
        <v>0</v>
      </c>
      <c r="AF137" s="16"/>
      <c r="AG137" s="16">
        <v>0</v>
      </c>
      <c r="AH137" s="16"/>
      <c r="AI137" s="16">
        <v>0</v>
      </c>
      <c r="AJ137" s="16"/>
      <c r="AK137" s="16">
        <f t="shared" si="35"/>
        <v>56582.26</v>
      </c>
      <c r="AL137" s="16"/>
      <c r="AM137" s="16">
        <f t="shared" si="36"/>
        <v>-12843.79</v>
      </c>
      <c r="AN137" s="16"/>
      <c r="AO137" s="16">
        <v>330702.12</v>
      </c>
      <c r="AP137" s="16"/>
      <c r="AQ137" s="16">
        <f t="shared" si="37"/>
        <v>317858.33</v>
      </c>
      <c r="AR137" s="4"/>
      <c r="AS137" s="20">
        <f t="shared" si="38"/>
        <v>0</v>
      </c>
      <c r="AT137" s="20"/>
      <c r="AU137" s="20">
        <f t="shared" si="39"/>
        <v>0</v>
      </c>
      <c r="AV137" s="20"/>
      <c r="AW137" s="20">
        <f t="shared" si="40"/>
        <v>0</v>
      </c>
      <c r="AX137" s="20"/>
      <c r="AY137" s="20">
        <f t="shared" si="41"/>
        <v>0</v>
      </c>
    </row>
    <row r="138" spans="1:51" x14ac:dyDescent="0.2">
      <c r="A138" s="1" t="s">
        <v>48</v>
      </c>
      <c r="C138" s="1" t="s">
        <v>293</v>
      </c>
      <c r="E138" s="16">
        <v>5384000.1299999999</v>
      </c>
      <c r="F138" s="16"/>
      <c r="G138" s="16">
        <v>442752.42</v>
      </c>
      <c r="H138" s="16"/>
      <c r="I138" s="16">
        <v>195051.8</v>
      </c>
      <c r="J138" s="16"/>
      <c r="K138" s="16">
        <v>0</v>
      </c>
      <c r="L138" s="16"/>
      <c r="M138" s="16">
        <v>-4746195.91</v>
      </c>
      <c r="N138" s="16"/>
      <c r="O138" s="16">
        <f t="shared" si="34"/>
        <v>-4746195.91</v>
      </c>
      <c r="P138" s="16"/>
      <c r="Q138" s="16">
        <v>111432.67</v>
      </c>
      <c r="R138" s="16"/>
      <c r="S138" s="16">
        <v>3707031.29</v>
      </c>
      <c r="T138" s="16"/>
      <c r="U138" s="16">
        <v>1188689.96</v>
      </c>
      <c r="V138" s="16"/>
      <c r="W138" s="16">
        <v>7126.64</v>
      </c>
      <c r="X138" s="16"/>
      <c r="Y138" s="16">
        <v>0</v>
      </c>
      <c r="Z138" s="16"/>
      <c r="AA138" s="16">
        <v>197784.07</v>
      </c>
      <c r="AB138" s="16"/>
      <c r="AC138" s="16">
        <v>250000</v>
      </c>
      <c r="AD138" s="16"/>
      <c r="AE138" s="16">
        <v>0</v>
      </c>
      <c r="AF138" s="16"/>
      <c r="AG138" s="16">
        <v>0</v>
      </c>
      <c r="AH138" s="16"/>
      <c r="AI138" s="16">
        <v>0</v>
      </c>
      <c r="AJ138" s="16"/>
      <c r="AK138" s="16">
        <f t="shared" si="35"/>
        <v>5462064.6299999999</v>
      </c>
      <c r="AL138" s="16"/>
      <c r="AM138" s="16">
        <f t="shared" si="36"/>
        <v>715868.71999999974</v>
      </c>
      <c r="AN138" s="16"/>
      <c r="AO138" s="16">
        <v>2786365.79</v>
      </c>
      <c r="AP138" s="16"/>
      <c r="AQ138" s="16">
        <f t="shared" si="37"/>
        <v>3502234.51</v>
      </c>
      <c r="AR138" s="4"/>
      <c r="AS138" s="20">
        <f t="shared" si="38"/>
        <v>0</v>
      </c>
      <c r="AT138" s="20"/>
      <c r="AU138" s="20">
        <f t="shared" si="39"/>
        <v>0</v>
      </c>
      <c r="AV138" s="20"/>
      <c r="AW138" s="20">
        <f t="shared" si="40"/>
        <v>0</v>
      </c>
      <c r="AX138" s="20"/>
      <c r="AY138" s="20">
        <f t="shared" si="41"/>
        <v>0</v>
      </c>
    </row>
    <row r="139" spans="1:51" x14ac:dyDescent="0.2">
      <c r="A139" s="4" t="s">
        <v>836</v>
      </c>
      <c r="B139" s="4"/>
      <c r="C139" s="4" t="s">
        <v>469</v>
      </c>
      <c r="D139" s="4"/>
      <c r="E139" s="16">
        <v>2858332</v>
      </c>
      <c r="F139" s="16"/>
      <c r="G139" s="16">
        <v>126646</v>
      </c>
      <c r="H139" s="16"/>
      <c r="I139" s="16">
        <v>219478</v>
      </c>
      <c r="J139" s="16"/>
      <c r="K139" s="16">
        <v>0</v>
      </c>
      <c r="L139" s="16"/>
      <c r="M139" s="16">
        <f>SUM(G139:K139)-E139</f>
        <v>-2512208</v>
      </c>
      <c r="N139" s="16"/>
      <c r="O139" s="16">
        <f t="shared" si="34"/>
        <v>-2512208</v>
      </c>
      <c r="P139" s="16"/>
      <c r="Q139" s="16">
        <f>132487+276222</f>
        <v>408709</v>
      </c>
      <c r="R139" s="16"/>
      <c r="S139" s="16">
        <v>1382948</v>
      </c>
      <c r="T139" s="16"/>
      <c r="U139" s="16">
        <v>426902</v>
      </c>
      <c r="V139" s="16"/>
      <c r="W139" s="16">
        <v>937</v>
      </c>
      <c r="X139" s="16"/>
      <c r="Y139" s="16">
        <v>0</v>
      </c>
      <c r="Z139" s="16"/>
      <c r="AA139" s="16">
        <v>52577</v>
      </c>
      <c r="AB139" s="16"/>
      <c r="AC139" s="16">
        <v>0</v>
      </c>
      <c r="AD139" s="16"/>
      <c r="AE139" s="16">
        <v>0</v>
      </c>
      <c r="AF139" s="16"/>
      <c r="AG139" s="16">
        <v>0</v>
      </c>
      <c r="AH139" s="16"/>
      <c r="AI139" s="16">
        <v>0</v>
      </c>
      <c r="AJ139" s="16"/>
      <c r="AK139" s="16">
        <f t="shared" si="35"/>
        <v>2272073</v>
      </c>
      <c r="AL139" s="16"/>
      <c r="AM139" s="16">
        <f t="shared" si="36"/>
        <v>-240135</v>
      </c>
      <c r="AN139" s="16"/>
      <c r="AO139" s="16">
        <v>4946355</v>
      </c>
      <c r="AP139" s="16"/>
      <c r="AQ139" s="16">
        <f t="shared" si="37"/>
        <v>4706220</v>
      </c>
      <c r="AR139" s="4"/>
      <c r="AS139" s="20">
        <f t="shared" si="38"/>
        <v>0</v>
      </c>
      <c r="AT139" s="20"/>
      <c r="AU139" s="20">
        <f t="shared" si="39"/>
        <v>0</v>
      </c>
      <c r="AV139" s="20"/>
      <c r="AW139" s="20">
        <f t="shared" si="40"/>
        <v>0</v>
      </c>
      <c r="AX139" s="20"/>
      <c r="AY139" s="20">
        <f t="shared" si="41"/>
        <v>0</v>
      </c>
    </row>
    <row r="140" spans="1:51" x14ac:dyDescent="0.2">
      <c r="A140" s="1" t="s">
        <v>547</v>
      </c>
      <c r="C140" s="1" t="s">
        <v>558</v>
      </c>
      <c r="E140" s="16">
        <v>344337.64</v>
      </c>
      <c r="F140" s="16"/>
      <c r="G140" s="16">
        <v>79726.429999999993</v>
      </c>
      <c r="H140" s="16"/>
      <c r="I140" s="16">
        <v>49937.79</v>
      </c>
      <c r="J140" s="16"/>
      <c r="K140" s="16">
        <v>0</v>
      </c>
      <c r="L140" s="16"/>
      <c r="M140" s="16">
        <v>-214673.42</v>
      </c>
      <c r="N140" s="16"/>
      <c r="O140" s="16">
        <f t="shared" si="34"/>
        <v>-214673.42</v>
      </c>
      <c r="P140" s="16"/>
      <c r="Q140" s="16">
        <v>99987.199999999997</v>
      </c>
      <c r="R140" s="16"/>
      <c r="S140" s="16">
        <v>0</v>
      </c>
      <c r="T140" s="16"/>
      <c r="U140" s="16">
        <v>30599.94</v>
      </c>
      <c r="V140" s="16"/>
      <c r="W140" s="16">
        <v>53.38</v>
      </c>
      <c r="X140" s="16"/>
      <c r="Y140" s="16">
        <v>5204.1400000000003</v>
      </c>
      <c r="Z140" s="16"/>
      <c r="AA140" s="16">
        <v>35682.75</v>
      </c>
      <c r="AB140" s="16"/>
      <c r="AC140" s="16">
        <v>0</v>
      </c>
      <c r="AD140" s="16"/>
      <c r="AE140" s="16">
        <v>0</v>
      </c>
      <c r="AF140" s="16"/>
      <c r="AG140" s="16">
        <v>0</v>
      </c>
      <c r="AH140" s="16"/>
      <c r="AI140" s="16">
        <v>0</v>
      </c>
      <c r="AJ140" s="16"/>
      <c r="AK140" s="16">
        <f t="shared" si="35"/>
        <v>171527.41</v>
      </c>
      <c r="AL140" s="16"/>
      <c r="AM140" s="16">
        <f t="shared" si="36"/>
        <v>-43146.010000000009</v>
      </c>
      <c r="AN140" s="16"/>
      <c r="AO140" s="16">
        <v>497008.18</v>
      </c>
      <c r="AP140" s="16"/>
      <c r="AQ140" s="16">
        <f t="shared" si="37"/>
        <v>453862.17</v>
      </c>
      <c r="AR140" s="4"/>
      <c r="AS140" s="20">
        <f t="shared" si="38"/>
        <v>0</v>
      </c>
      <c r="AT140" s="20"/>
      <c r="AU140" s="20">
        <f t="shared" si="39"/>
        <v>0</v>
      </c>
      <c r="AV140" s="20"/>
      <c r="AW140" s="20">
        <f t="shared" si="40"/>
        <v>0</v>
      </c>
      <c r="AX140" s="20"/>
      <c r="AY140" s="20">
        <f t="shared" si="41"/>
        <v>0</v>
      </c>
    </row>
    <row r="141" spans="1:51" x14ac:dyDescent="0.2">
      <c r="A141" s="13" t="s">
        <v>543</v>
      </c>
      <c r="B141" s="4"/>
      <c r="C141" s="13" t="s">
        <v>541</v>
      </c>
      <c r="D141" s="4"/>
      <c r="E141" s="16">
        <v>1106175</v>
      </c>
      <c r="F141" s="16"/>
      <c r="G141" s="16">
        <v>87037</v>
      </c>
      <c r="H141" s="16"/>
      <c r="I141" s="16">
        <v>226075</v>
      </c>
      <c r="J141" s="16"/>
      <c r="K141" s="16">
        <v>0</v>
      </c>
      <c r="L141" s="16"/>
      <c r="M141" s="16">
        <f>SUM(G141:K141)-E141</f>
        <v>-793063</v>
      </c>
      <c r="N141" s="16"/>
      <c r="O141" s="16">
        <f t="shared" si="34"/>
        <v>-793063</v>
      </c>
      <c r="P141" s="16"/>
      <c r="Q141" s="16">
        <f>84356+341560+45588</f>
        <v>471504</v>
      </c>
      <c r="R141" s="16"/>
      <c r="S141" s="16">
        <v>408349</v>
      </c>
      <c r="T141" s="16"/>
      <c r="U141" s="16">
        <v>236314</v>
      </c>
      <c r="V141" s="16"/>
      <c r="W141" s="16">
        <v>1709</v>
      </c>
      <c r="X141" s="16"/>
      <c r="Y141" s="16">
        <v>38421</v>
      </c>
      <c r="Z141" s="16"/>
      <c r="AA141" s="16">
        <v>26901</v>
      </c>
      <c r="AB141" s="16"/>
      <c r="AC141" s="16">
        <v>0</v>
      </c>
      <c r="AD141" s="16"/>
      <c r="AE141" s="16">
        <v>0</v>
      </c>
      <c r="AF141" s="16"/>
      <c r="AG141" s="16">
        <v>0</v>
      </c>
      <c r="AH141" s="16"/>
      <c r="AI141" s="16">
        <v>0</v>
      </c>
      <c r="AJ141" s="16"/>
      <c r="AK141" s="16">
        <f t="shared" si="35"/>
        <v>1183198</v>
      </c>
      <c r="AL141" s="16"/>
      <c r="AM141" s="16">
        <f t="shared" si="36"/>
        <v>390135</v>
      </c>
      <c r="AN141" s="16"/>
      <c r="AO141" s="16">
        <v>1106580</v>
      </c>
      <c r="AP141" s="16"/>
      <c r="AQ141" s="16">
        <f t="shared" si="37"/>
        <v>1496715</v>
      </c>
      <c r="AR141" s="4"/>
      <c r="AS141" s="20">
        <f t="shared" si="38"/>
        <v>0</v>
      </c>
      <c r="AT141" s="20"/>
      <c r="AU141" s="20">
        <f t="shared" si="39"/>
        <v>0</v>
      </c>
      <c r="AV141" s="20"/>
      <c r="AW141" s="20">
        <f t="shared" si="40"/>
        <v>0</v>
      </c>
      <c r="AX141" s="20"/>
      <c r="AY141" s="20">
        <f t="shared" si="41"/>
        <v>0</v>
      </c>
    </row>
    <row r="142" spans="1:51" x14ac:dyDescent="0.2">
      <c r="A142" s="4" t="s">
        <v>421</v>
      </c>
      <c r="B142" s="4"/>
      <c r="C142" s="4" t="s">
        <v>690</v>
      </c>
      <c r="D142" s="4"/>
      <c r="E142" s="16">
        <v>3784015</v>
      </c>
      <c r="F142" s="16"/>
      <c r="G142" s="16">
        <v>141898</v>
      </c>
      <c r="H142" s="16"/>
      <c r="I142" s="16">
        <v>14588</v>
      </c>
      <c r="J142" s="16"/>
      <c r="K142" s="16">
        <v>154531</v>
      </c>
      <c r="L142" s="16"/>
      <c r="M142" s="16">
        <f>SUM(G142:K142)-E142</f>
        <v>-3472998</v>
      </c>
      <c r="N142" s="16"/>
      <c r="O142" s="16">
        <f t="shared" si="34"/>
        <v>-3472998</v>
      </c>
      <c r="P142" s="16"/>
      <c r="Q142" s="16">
        <f>611325+123487</f>
        <v>734812</v>
      </c>
      <c r="R142" s="16"/>
      <c r="S142" s="16">
        <v>1503356</v>
      </c>
      <c r="T142" s="16"/>
      <c r="U142" s="16">
        <v>267975</v>
      </c>
      <c r="V142" s="16"/>
      <c r="W142" s="16">
        <v>69848</v>
      </c>
      <c r="X142" s="16"/>
      <c r="Y142" s="16">
        <v>0</v>
      </c>
      <c r="Z142" s="16"/>
      <c r="AA142" s="16">
        <v>125787</v>
      </c>
      <c r="AB142" s="16"/>
      <c r="AC142" s="16">
        <v>163297</v>
      </c>
      <c r="AD142" s="16"/>
      <c r="AE142" s="16">
        <v>0</v>
      </c>
      <c r="AF142" s="16"/>
      <c r="AG142" s="16">
        <v>0</v>
      </c>
      <c r="AH142" s="16"/>
      <c r="AI142" s="16">
        <v>0</v>
      </c>
      <c r="AJ142" s="16"/>
      <c r="AK142" s="16">
        <f t="shared" si="35"/>
        <v>2865075</v>
      </c>
      <c r="AL142" s="16"/>
      <c r="AM142" s="16">
        <f t="shared" si="36"/>
        <v>-607923</v>
      </c>
      <c r="AN142" s="16"/>
      <c r="AO142" s="16">
        <v>2419611</v>
      </c>
      <c r="AP142" s="16"/>
      <c r="AQ142" s="16">
        <f t="shared" si="37"/>
        <v>1811688</v>
      </c>
      <c r="AR142" s="4"/>
      <c r="AS142" s="20">
        <f t="shared" si="38"/>
        <v>0</v>
      </c>
      <c r="AT142" s="20"/>
      <c r="AU142" s="20">
        <f t="shared" si="39"/>
        <v>0</v>
      </c>
      <c r="AV142" s="20"/>
      <c r="AW142" s="20">
        <f t="shared" si="40"/>
        <v>0</v>
      </c>
      <c r="AX142" s="20"/>
      <c r="AY142" s="20">
        <f t="shared" si="41"/>
        <v>0</v>
      </c>
    </row>
    <row r="143" spans="1:51" x14ac:dyDescent="0.2">
      <c r="A143" s="1" t="s">
        <v>284</v>
      </c>
      <c r="C143" s="1" t="s">
        <v>283</v>
      </c>
      <c r="E143" s="16">
        <v>1982485.09</v>
      </c>
      <c r="F143" s="16"/>
      <c r="G143" s="16">
        <v>182319.03</v>
      </c>
      <c r="H143" s="16"/>
      <c r="I143" s="16">
        <v>164140.24</v>
      </c>
      <c r="J143" s="16"/>
      <c r="K143" s="16">
        <v>0</v>
      </c>
      <c r="L143" s="16"/>
      <c r="M143" s="16">
        <v>-1636025.82</v>
      </c>
      <c r="N143" s="16"/>
      <c r="O143" s="16">
        <f t="shared" si="34"/>
        <v>-1636025.82</v>
      </c>
      <c r="P143" s="16"/>
      <c r="Q143" s="16">
        <v>497906.46</v>
      </c>
      <c r="R143" s="16"/>
      <c r="S143" s="16">
        <v>435632.05</v>
      </c>
      <c r="T143" s="16"/>
      <c r="U143" s="16">
        <v>78227.91</v>
      </c>
      <c r="V143" s="16"/>
      <c r="W143" s="16">
        <v>436.28</v>
      </c>
      <c r="X143" s="16"/>
      <c r="Y143" s="16">
        <v>0</v>
      </c>
      <c r="Z143" s="16"/>
      <c r="AA143" s="16">
        <v>105027.84</v>
      </c>
      <c r="AB143" s="16"/>
      <c r="AC143" s="16">
        <v>0</v>
      </c>
      <c r="AD143" s="16"/>
      <c r="AE143" s="16">
        <v>0</v>
      </c>
      <c r="AF143" s="16"/>
      <c r="AG143" s="16">
        <v>0</v>
      </c>
      <c r="AH143" s="16"/>
      <c r="AI143" s="16">
        <v>0</v>
      </c>
      <c r="AJ143" s="16"/>
      <c r="AK143" s="16">
        <f t="shared" si="35"/>
        <v>1117230.54</v>
      </c>
      <c r="AL143" s="16"/>
      <c r="AM143" s="16">
        <f t="shared" si="36"/>
        <v>-518795.28</v>
      </c>
      <c r="AN143" s="16"/>
      <c r="AO143" s="16">
        <v>1201567.8600000001</v>
      </c>
      <c r="AP143" s="16"/>
      <c r="AQ143" s="16">
        <f t="shared" si="37"/>
        <v>682772.58000000007</v>
      </c>
      <c r="AR143" s="4"/>
      <c r="AS143" s="20">
        <f t="shared" si="38"/>
        <v>0</v>
      </c>
      <c r="AT143" s="20"/>
      <c r="AU143" s="20">
        <f t="shared" si="39"/>
        <v>0</v>
      </c>
      <c r="AV143" s="20"/>
      <c r="AW143" s="20">
        <f t="shared" si="40"/>
        <v>0</v>
      </c>
      <c r="AX143" s="20"/>
      <c r="AY143" s="20">
        <f t="shared" si="41"/>
        <v>0</v>
      </c>
    </row>
    <row r="144" spans="1:51" x14ac:dyDescent="0.2">
      <c r="A144" s="1" t="s">
        <v>233</v>
      </c>
      <c r="C144" s="1" t="s">
        <v>547</v>
      </c>
      <c r="E144" s="16">
        <v>852213.08</v>
      </c>
      <c r="F144" s="16"/>
      <c r="G144" s="16">
        <v>75380.08</v>
      </c>
      <c r="H144" s="16"/>
      <c r="I144" s="16">
        <v>80650.350000000006</v>
      </c>
      <c r="J144" s="16"/>
      <c r="K144" s="16">
        <v>0</v>
      </c>
      <c r="L144" s="16"/>
      <c r="M144" s="16">
        <v>-696182.65</v>
      </c>
      <c r="N144" s="16"/>
      <c r="O144" s="16">
        <f t="shared" si="34"/>
        <v>-696182.65</v>
      </c>
      <c r="P144" s="16"/>
      <c r="Q144" s="16">
        <v>58173.36</v>
      </c>
      <c r="R144" s="16"/>
      <c r="S144" s="16">
        <v>241914.48</v>
      </c>
      <c r="T144" s="16"/>
      <c r="U144" s="16">
        <v>35378.11</v>
      </c>
      <c r="V144" s="16"/>
      <c r="W144" s="16">
        <v>1118.43</v>
      </c>
      <c r="X144" s="16"/>
      <c r="Y144" s="16">
        <v>0</v>
      </c>
      <c r="Z144" s="16"/>
      <c r="AA144" s="16">
        <v>162392.94</v>
      </c>
      <c r="AB144" s="16"/>
      <c r="AC144" s="16">
        <v>42891.99</v>
      </c>
      <c r="AD144" s="16"/>
      <c r="AE144" s="16">
        <v>139920</v>
      </c>
      <c r="AF144" s="16"/>
      <c r="AG144" s="16">
        <v>0</v>
      </c>
      <c r="AH144" s="16"/>
      <c r="AI144" s="16">
        <v>775</v>
      </c>
      <c r="AJ144" s="16"/>
      <c r="AK144" s="16">
        <f t="shared" si="35"/>
        <v>682564.31</v>
      </c>
      <c r="AL144" s="16"/>
      <c r="AM144" s="16">
        <f t="shared" si="36"/>
        <v>-13618.339999999967</v>
      </c>
      <c r="AN144" s="16"/>
      <c r="AO144" s="16">
        <v>357244.02</v>
      </c>
      <c r="AP144" s="16"/>
      <c r="AQ144" s="16">
        <f t="shared" si="37"/>
        <v>343625.68000000005</v>
      </c>
      <c r="AR144" s="4"/>
      <c r="AS144" s="20">
        <f t="shared" si="38"/>
        <v>0</v>
      </c>
      <c r="AT144" s="20"/>
      <c r="AU144" s="20">
        <f t="shared" si="39"/>
        <v>0</v>
      </c>
      <c r="AV144" s="20"/>
      <c r="AW144" s="20">
        <f t="shared" si="40"/>
        <v>0</v>
      </c>
      <c r="AX144" s="20"/>
      <c r="AY144" s="20">
        <f t="shared" si="41"/>
        <v>0</v>
      </c>
    </row>
    <row r="145" spans="1:51" x14ac:dyDescent="0.2">
      <c r="A145" s="1" t="s">
        <v>853</v>
      </c>
      <c r="C145" s="1" t="s">
        <v>823</v>
      </c>
      <c r="E145" s="16">
        <v>970566.78</v>
      </c>
      <c r="F145" s="16"/>
      <c r="G145" s="16">
        <v>10352.790000000001</v>
      </c>
      <c r="H145" s="16"/>
      <c r="I145" s="16">
        <v>59552.37</v>
      </c>
      <c r="J145" s="16"/>
      <c r="K145" s="16">
        <v>0</v>
      </c>
      <c r="L145" s="16"/>
      <c r="M145" s="16">
        <v>-900661.62</v>
      </c>
      <c r="N145" s="16"/>
      <c r="O145" s="16">
        <f t="shared" si="34"/>
        <v>-900661.62</v>
      </c>
      <c r="P145" s="16"/>
      <c r="Q145" s="16">
        <v>130276.2</v>
      </c>
      <c r="R145" s="16"/>
      <c r="S145" s="16">
        <v>1218644.96</v>
      </c>
      <c r="T145" s="16"/>
      <c r="U145" s="16">
        <v>135895.14000000001</v>
      </c>
      <c r="V145" s="16"/>
      <c r="W145" s="16">
        <v>0</v>
      </c>
      <c r="X145" s="16"/>
      <c r="Y145" s="16">
        <v>0</v>
      </c>
      <c r="Z145" s="16"/>
      <c r="AA145" s="16">
        <v>70110.28</v>
      </c>
      <c r="AB145" s="16"/>
      <c r="AC145" s="16">
        <v>0</v>
      </c>
      <c r="AD145" s="16"/>
      <c r="AE145" s="16">
        <v>-116000</v>
      </c>
      <c r="AF145" s="16"/>
      <c r="AG145" s="16">
        <v>0</v>
      </c>
      <c r="AH145" s="16"/>
      <c r="AI145" s="16">
        <v>100000</v>
      </c>
      <c r="AJ145" s="16"/>
      <c r="AK145" s="16">
        <f t="shared" si="35"/>
        <v>1538926.5799999998</v>
      </c>
      <c r="AL145" s="16"/>
      <c r="AM145" s="16">
        <f t="shared" si="36"/>
        <v>638264.95999999985</v>
      </c>
      <c r="AN145" s="16"/>
      <c r="AO145" s="16">
        <v>1090471.8400000001</v>
      </c>
      <c r="AP145" s="16"/>
      <c r="AQ145" s="16">
        <f t="shared" si="37"/>
        <v>1728736.7999999998</v>
      </c>
      <c r="AR145" s="4"/>
      <c r="AS145" s="20">
        <f t="shared" si="38"/>
        <v>0</v>
      </c>
      <c r="AT145" s="20"/>
      <c r="AU145" s="20">
        <f t="shared" si="39"/>
        <v>0</v>
      </c>
      <c r="AV145" s="20"/>
      <c r="AW145" s="20">
        <f t="shared" si="40"/>
        <v>0</v>
      </c>
      <c r="AX145" s="20"/>
      <c r="AY145" s="20">
        <f t="shared" si="41"/>
        <v>0</v>
      </c>
    </row>
    <row r="146" spans="1:51" x14ac:dyDescent="0.2">
      <c r="A146" s="1" t="s">
        <v>272</v>
      </c>
      <c r="C146" s="1" t="s">
        <v>269</v>
      </c>
      <c r="E146" s="16">
        <v>82576.67</v>
      </c>
      <c r="F146" s="16"/>
      <c r="G146" s="16">
        <v>1695.3</v>
      </c>
      <c r="H146" s="16"/>
      <c r="I146" s="16">
        <v>17525.57</v>
      </c>
      <c r="J146" s="16"/>
      <c r="K146" s="16">
        <v>0</v>
      </c>
      <c r="L146" s="16"/>
      <c r="M146" s="16">
        <v>-63355.8</v>
      </c>
      <c r="N146" s="16"/>
      <c r="O146" s="16">
        <f t="shared" si="34"/>
        <v>-63355.799999999996</v>
      </c>
      <c r="P146" s="16"/>
      <c r="Q146" s="16">
        <v>3623.58</v>
      </c>
      <c r="R146" s="16"/>
      <c r="S146" s="16">
        <v>39324.69</v>
      </c>
      <c r="T146" s="16"/>
      <c r="U146" s="16">
        <v>35268.11</v>
      </c>
      <c r="V146" s="16"/>
      <c r="W146" s="16">
        <v>0</v>
      </c>
      <c r="X146" s="16"/>
      <c r="Y146" s="16">
        <v>0</v>
      </c>
      <c r="Z146" s="16"/>
      <c r="AA146" s="16">
        <v>542.13</v>
      </c>
      <c r="AB146" s="16"/>
      <c r="AC146" s="16">
        <v>0</v>
      </c>
      <c r="AD146" s="16"/>
      <c r="AE146" s="16">
        <v>0</v>
      </c>
      <c r="AF146" s="16"/>
      <c r="AG146" s="16">
        <v>0</v>
      </c>
      <c r="AH146" s="16"/>
      <c r="AI146" s="16">
        <v>0</v>
      </c>
      <c r="AJ146" s="16"/>
      <c r="AK146" s="16">
        <f t="shared" si="35"/>
        <v>78758.510000000009</v>
      </c>
      <c r="AL146" s="16"/>
      <c r="AM146" s="16">
        <f t="shared" si="36"/>
        <v>15402.710000000006</v>
      </c>
      <c r="AN146" s="16"/>
      <c r="AO146" s="16">
        <v>80928.960000000006</v>
      </c>
      <c r="AP146" s="16"/>
      <c r="AQ146" s="16">
        <f t="shared" si="37"/>
        <v>96331.670000000013</v>
      </c>
      <c r="AR146" s="4"/>
      <c r="AS146" s="20">
        <f t="shared" si="38"/>
        <v>0</v>
      </c>
      <c r="AT146" s="20"/>
      <c r="AU146" s="20">
        <f t="shared" si="39"/>
        <v>0</v>
      </c>
      <c r="AV146" s="20"/>
      <c r="AW146" s="20">
        <f t="shared" si="40"/>
        <v>0</v>
      </c>
      <c r="AX146" s="20"/>
      <c r="AY146" s="20">
        <f t="shared" si="41"/>
        <v>0</v>
      </c>
    </row>
    <row r="147" spans="1:51" x14ac:dyDescent="0.2">
      <c r="A147" s="1" t="s">
        <v>224</v>
      </c>
      <c r="C147" s="1" t="s">
        <v>532</v>
      </c>
      <c r="E147" s="16">
        <v>214853.47</v>
      </c>
      <c r="F147" s="16"/>
      <c r="G147" s="16">
        <v>55353.65</v>
      </c>
      <c r="H147" s="16"/>
      <c r="I147" s="16">
        <v>115482.47</v>
      </c>
      <c r="J147" s="16"/>
      <c r="K147" s="16">
        <v>0</v>
      </c>
      <c r="L147" s="16"/>
      <c r="M147" s="16">
        <v>-44017.35</v>
      </c>
      <c r="N147" s="16"/>
      <c r="O147" s="16">
        <f t="shared" ref="O147:O148" si="42">-E147+G147+I147+K147</f>
        <v>-44017.350000000006</v>
      </c>
      <c r="P147" s="16"/>
      <c r="Q147" s="16">
        <v>15654.97</v>
      </c>
      <c r="R147" s="16"/>
      <c r="S147" s="16">
        <v>0</v>
      </c>
      <c r="T147" s="16"/>
      <c r="U147" s="16">
        <v>18244.02</v>
      </c>
      <c r="V147" s="16"/>
      <c r="W147" s="16">
        <v>18.22</v>
      </c>
      <c r="X147" s="16"/>
      <c r="Y147" s="16">
        <v>0</v>
      </c>
      <c r="Z147" s="16"/>
      <c r="AA147" s="16">
        <v>27603.75</v>
      </c>
      <c r="AB147" s="16"/>
      <c r="AC147" s="16">
        <v>0</v>
      </c>
      <c r="AD147" s="16"/>
      <c r="AE147" s="16">
        <v>0</v>
      </c>
      <c r="AF147" s="16"/>
      <c r="AG147" s="16">
        <v>0</v>
      </c>
      <c r="AH147" s="16"/>
      <c r="AI147" s="16">
        <v>0</v>
      </c>
      <c r="AJ147" s="16"/>
      <c r="AK147" s="16">
        <f t="shared" ref="AK147:AK148" si="43">Q147+S147+U147+W147+Y147+AA147+AC147+AE147+AI147+AG147</f>
        <v>61520.959999999999</v>
      </c>
      <c r="AL147" s="16"/>
      <c r="AM147" s="16">
        <f t="shared" ref="AM147:AM148" si="44">AK147+M147</f>
        <v>17503.61</v>
      </c>
      <c r="AN147" s="16"/>
      <c r="AO147" s="16">
        <v>177418.09</v>
      </c>
      <c r="AP147" s="16"/>
      <c r="AQ147" s="16">
        <f t="shared" si="37"/>
        <v>194921.7</v>
      </c>
      <c r="AR147" s="4"/>
      <c r="AS147" s="20">
        <f t="shared" si="38"/>
        <v>0</v>
      </c>
      <c r="AT147" s="20"/>
      <c r="AU147" s="20">
        <f t="shared" si="39"/>
        <v>0</v>
      </c>
      <c r="AV147" s="20"/>
      <c r="AW147" s="20">
        <f t="shared" si="40"/>
        <v>0</v>
      </c>
      <c r="AX147" s="20"/>
      <c r="AY147" s="20">
        <f t="shared" si="41"/>
        <v>0</v>
      </c>
    </row>
    <row r="148" spans="1:51" x14ac:dyDescent="0.2">
      <c r="A148" s="4" t="s">
        <v>538</v>
      </c>
      <c r="B148" s="4"/>
      <c r="C148" s="4" t="s">
        <v>77</v>
      </c>
      <c r="D148" s="4"/>
      <c r="E148" s="16">
        <v>73164</v>
      </c>
      <c r="F148" s="16"/>
      <c r="G148" s="16">
        <v>7400</v>
      </c>
      <c r="H148" s="16"/>
      <c r="I148" s="16">
        <v>38031</v>
      </c>
      <c r="J148" s="16"/>
      <c r="K148" s="16">
        <v>0</v>
      </c>
      <c r="L148" s="16"/>
      <c r="M148" s="16">
        <f>SUM(G148:K148)-E148</f>
        <v>-27733</v>
      </c>
      <c r="N148" s="16"/>
      <c r="O148" s="16">
        <f t="shared" si="42"/>
        <v>-27733</v>
      </c>
      <c r="P148" s="16"/>
      <c r="Q148" s="16">
        <f>4026+23289</f>
        <v>27315</v>
      </c>
      <c r="R148" s="16"/>
      <c r="S148" s="16">
        <v>0</v>
      </c>
      <c r="T148" s="16"/>
      <c r="U148" s="16">
        <v>2907</v>
      </c>
      <c r="V148" s="16"/>
      <c r="W148" s="16">
        <v>207</v>
      </c>
      <c r="X148" s="16"/>
      <c r="Y148" s="16">
        <v>0</v>
      </c>
      <c r="Z148" s="16"/>
      <c r="AA148" s="16">
        <v>7052</v>
      </c>
      <c r="AB148" s="16"/>
      <c r="AC148" s="16">
        <v>0</v>
      </c>
      <c r="AD148" s="16"/>
      <c r="AE148" s="16">
        <v>0</v>
      </c>
      <c r="AF148" s="16"/>
      <c r="AG148" s="16">
        <v>0</v>
      </c>
      <c r="AH148" s="16"/>
      <c r="AI148" s="16">
        <v>0</v>
      </c>
      <c r="AJ148" s="16"/>
      <c r="AK148" s="16">
        <f t="shared" si="43"/>
        <v>37481</v>
      </c>
      <c r="AL148" s="16"/>
      <c r="AM148" s="16">
        <f t="shared" si="44"/>
        <v>9748</v>
      </c>
      <c r="AN148" s="16"/>
      <c r="AO148" s="16">
        <v>157036</v>
      </c>
      <c r="AP148" s="16"/>
      <c r="AQ148" s="16">
        <f t="shared" si="37"/>
        <v>166784</v>
      </c>
      <c r="AR148" s="4"/>
      <c r="AS148" s="20">
        <f t="shared" si="38"/>
        <v>0</v>
      </c>
      <c r="AT148" s="20"/>
      <c r="AU148" s="20">
        <f t="shared" si="39"/>
        <v>0</v>
      </c>
      <c r="AV148" s="20"/>
      <c r="AW148" s="20">
        <f t="shared" si="40"/>
        <v>0</v>
      </c>
      <c r="AX148" s="20"/>
      <c r="AY148" s="20">
        <f t="shared" si="41"/>
        <v>0</v>
      </c>
    </row>
    <row r="150" spans="1:51" x14ac:dyDescent="0.2">
      <c r="AO150" s="17"/>
    </row>
  </sheetData>
  <sortState ref="A12:AO147">
    <sortCondition ref="A12:A147"/>
    <sortCondition ref="C12:C147"/>
  </sortState>
  <mergeCells count="4">
    <mergeCell ref="W6:AC6"/>
    <mergeCell ref="Q6:U6"/>
    <mergeCell ref="G6:K6"/>
    <mergeCell ref="AS7:AY7"/>
  </mergeCells>
  <phoneticPr fontId="1" type="noConversion"/>
  <printOptions horizontalCentered="1"/>
  <pageMargins left="0.75" right="0.75" top="0.5" bottom="0.5" header="0" footer="0.3"/>
  <pageSetup scale="60" firstPageNumber="4" fitToWidth="2" fitToHeight="4" pageOrder="overThenDown" orientation="portrait" useFirstPageNumber="1" verticalDpi="300" r:id="rId1"/>
  <headerFooter scaleWithDoc="0" alignWithMargins="0">
    <oddFooter>&amp;C&amp;11&amp;P</oddFooter>
  </headerFooter>
  <rowBreaks count="1" manualBreakCount="1">
    <brk id="9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2"/>
  <sheetViews>
    <sheetView view="pageBreakPreview" zoomScaleNormal="100" zoomScaleSheetLayoutView="100" workbookViewId="0">
      <pane xSplit="4" ySplit="7" topLeftCell="E396" activePane="bottomRight" state="frozen"/>
      <selection pane="topRight" activeCell="E1" sqref="E1"/>
      <selection pane="bottomLeft" activeCell="A8" sqref="A8"/>
      <selection pane="bottomRight" activeCell="L425" sqref="L425"/>
    </sheetView>
  </sheetViews>
  <sheetFormatPr defaultColWidth="9.33203125" defaultRowHeight="12" x14ac:dyDescent="0.2"/>
  <cols>
    <col min="1" max="1" width="18.1640625" style="1" customWidth="1"/>
    <col min="2" max="2" width="1.83203125" style="1" customWidth="1"/>
    <col min="3" max="3" width="13.1640625" style="1" customWidth="1"/>
    <col min="4" max="4" width="1.33203125" style="1" customWidth="1"/>
    <col min="5" max="5" width="11.83203125" style="5" customWidth="1"/>
    <col min="6" max="6" width="1.83203125" style="5" customWidth="1"/>
    <col min="7" max="7" width="11.6640625" style="5" customWidth="1"/>
    <col min="8" max="8" width="1.33203125" style="5" customWidth="1"/>
    <col min="9" max="9" width="11.6640625" style="5" customWidth="1"/>
    <col min="10" max="10" width="1.33203125" style="5" customWidth="1"/>
    <col min="11" max="11" width="11.6640625" style="5" customWidth="1"/>
    <col min="12" max="12" width="1.33203125" style="5" customWidth="1"/>
    <col min="13" max="13" width="11.6640625" style="5" customWidth="1"/>
    <col min="14" max="14" width="1.33203125" style="5" customWidth="1"/>
    <col min="15" max="15" width="11.6640625" style="5" customWidth="1"/>
    <col min="16" max="16" width="1.33203125" style="5" customWidth="1"/>
    <col min="17" max="17" width="11.6640625" style="5" customWidth="1"/>
    <col min="18" max="18" width="1.83203125" style="5" customWidth="1"/>
    <col min="19" max="19" width="11.83203125" style="5" customWidth="1"/>
    <col min="20" max="20" width="1.33203125" style="5" customWidth="1"/>
    <col min="21" max="21" width="11.6640625" style="5" customWidth="1"/>
    <col min="22" max="22" width="1.33203125" style="5" customWidth="1"/>
    <col min="23" max="23" width="11.6640625" style="5" customWidth="1"/>
    <col min="24" max="24" width="1.33203125" style="5" customWidth="1"/>
    <col min="25" max="25" width="11.6640625" style="5" customWidth="1"/>
    <col min="26" max="26" width="1.33203125" style="5" customWidth="1"/>
    <col min="27" max="27" width="11.6640625" style="5" customWidth="1"/>
    <col min="28" max="28" width="1.33203125" style="5" customWidth="1"/>
    <col min="29" max="29" width="11.6640625" style="5" customWidth="1"/>
    <col min="30" max="30" width="1.33203125" style="5" customWidth="1"/>
    <col min="31" max="31" width="11.6640625" style="5" customWidth="1"/>
    <col min="32" max="32" width="1.33203125" style="5" customWidth="1"/>
    <col min="33" max="33" width="12" style="5" customWidth="1"/>
    <col min="34" max="34" width="1.5" style="5" customWidth="1"/>
    <col min="35" max="35" width="11.6640625" style="1" customWidth="1"/>
    <col min="36" max="36" width="2.1640625" style="1" customWidth="1"/>
    <col min="37" max="16384" width="9.33203125" style="1"/>
  </cols>
  <sheetData>
    <row r="1" spans="1:39" ht="12.6" customHeight="1" x14ac:dyDescent="0.2">
      <c r="A1" s="84" t="s">
        <v>572</v>
      </c>
      <c r="B1" s="84"/>
      <c r="C1" s="84"/>
      <c r="D1" s="84"/>
    </row>
    <row r="2" spans="1:39" ht="12.6" customHeight="1" x14ac:dyDescent="0.2">
      <c r="A2" s="84" t="s">
        <v>731</v>
      </c>
      <c r="B2" s="84"/>
      <c r="C2" s="84"/>
      <c r="D2" s="84"/>
    </row>
    <row r="3" spans="1:39" ht="12.6" customHeight="1" x14ac:dyDescent="0.2">
      <c r="A3" s="84" t="s">
        <v>844</v>
      </c>
      <c r="B3" s="84"/>
      <c r="C3" s="84"/>
      <c r="D3" s="84"/>
    </row>
    <row r="4" spans="1:39" s="78" customFormat="1" ht="12.6" customHeight="1" x14ac:dyDescent="0.2">
      <c r="A4" s="6" t="s">
        <v>733</v>
      </c>
      <c r="B4" s="84"/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0"/>
      <c r="AJ4" s="80"/>
      <c r="AK4" s="80"/>
      <c r="AL4" s="80"/>
      <c r="AM4" s="80"/>
    </row>
    <row r="5" spans="1:39" s="78" customFormat="1" ht="12.6" customHeight="1" x14ac:dyDescent="0.2">
      <c r="A5" s="84"/>
      <c r="B5" s="84"/>
      <c r="C5" s="84"/>
      <c r="D5" s="84"/>
      <c r="E5" s="81" t="s">
        <v>573</v>
      </c>
      <c r="F5" s="81"/>
      <c r="G5" s="82"/>
      <c r="H5" s="82"/>
      <c r="I5" s="82"/>
      <c r="J5" s="82"/>
      <c r="K5" s="82"/>
      <c r="L5" s="82"/>
      <c r="M5" s="82"/>
      <c r="N5" s="82"/>
      <c r="O5" s="81" t="s">
        <v>584</v>
      </c>
      <c r="P5" s="81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1" t="s">
        <v>592</v>
      </c>
      <c r="AF5" s="81"/>
      <c r="AG5" s="81" t="s">
        <v>839</v>
      </c>
      <c r="AH5" s="81"/>
      <c r="AI5" s="80"/>
      <c r="AJ5" s="80"/>
      <c r="AK5" s="80"/>
      <c r="AL5" s="80"/>
      <c r="AM5" s="80"/>
    </row>
    <row r="6" spans="1:39" s="78" customFormat="1" ht="12.6" customHeight="1" x14ac:dyDescent="0.2">
      <c r="A6" s="84"/>
      <c r="B6" s="84"/>
      <c r="C6" s="84"/>
      <c r="D6" s="84"/>
      <c r="E6" s="81" t="s">
        <v>574</v>
      </c>
      <c r="F6" s="81"/>
      <c r="G6" s="81" t="s">
        <v>576</v>
      </c>
      <c r="H6" s="81"/>
      <c r="I6" s="81" t="s">
        <v>578</v>
      </c>
      <c r="J6" s="81"/>
      <c r="K6" s="81" t="s">
        <v>580</v>
      </c>
      <c r="L6" s="81"/>
      <c r="M6" s="81" t="s">
        <v>582</v>
      </c>
      <c r="N6" s="81"/>
      <c r="O6" s="81" t="s">
        <v>585</v>
      </c>
      <c r="P6" s="81"/>
      <c r="Q6" s="81" t="s">
        <v>587</v>
      </c>
      <c r="R6" s="81"/>
      <c r="S6" s="82"/>
      <c r="T6" s="82"/>
      <c r="U6" s="83" t="s">
        <v>735</v>
      </c>
      <c r="V6" s="83"/>
      <c r="W6" s="83" t="s">
        <v>735</v>
      </c>
      <c r="X6" s="82"/>
      <c r="Y6" s="81" t="s">
        <v>589</v>
      </c>
      <c r="Z6" s="81"/>
      <c r="AA6" s="82"/>
      <c r="AB6" s="82"/>
      <c r="AC6" s="82"/>
      <c r="AD6" s="82"/>
      <c r="AE6" s="81" t="s">
        <v>593</v>
      </c>
      <c r="AF6" s="81"/>
      <c r="AG6" s="81" t="s">
        <v>672</v>
      </c>
      <c r="AH6" s="81"/>
      <c r="AI6" s="80"/>
      <c r="AJ6" s="80"/>
      <c r="AK6" s="80"/>
      <c r="AL6" s="80"/>
      <c r="AM6" s="80"/>
    </row>
    <row r="7" spans="1:39" s="71" customFormat="1" ht="12.6" customHeight="1" x14ac:dyDescent="0.2">
      <c r="A7" s="75" t="s">
        <v>674</v>
      </c>
      <c r="C7" s="75" t="s">
        <v>675</v>
      </c>
      <c r="E7" s="85" t="s">
        <v>575</v>
      </c>
      <c r="F7" s="86"/>
      <c r="G7" s="85" t="s">
        <v>577</v>
      </c>
      <c r="H7" s="86"/>
      <c r="I7" s="76" t="s">
        <v>579</v>
      </c>
      <c r="J7" s="9"/>
      <c r="K7" s="76" t="s">
        <v>581</v>
      </c>
      <c r="L7" s="9"/>
      <c r="M7" s="76" t="s">
        <v>583</v>
      </c>
      <c r="N7" s="9"/>
      <c r="O7" s="76" t="s">
        <v>586</v>
      </c>
      <c r="P7" s="9"/>
      <c r="Q7" s="76" t="s">
        <v>588</v>
      </c>
      <c r="R7" s="9"/>
      <c r="S7" s="76" t="s">
        <v>568</v>
      </c>
      <c r="T7" s="9"/>
      <c r="U7" s="74" t="s">
        <v>736</v>
      </c>
      <c r="V7" s="72"/>
      <c r="W7" s="74" t="s">
        <v>737</v>
      </c>
      <c r="X7" s="72"/>
      <c r="Y7" s="76" t="s">
        <v>590</v>
      </c>
      <c r="Z7" s="9"/>
      <c r="AA7" s="76" t="s">
        <v>570</v>
      </c>
      <c r="AB7" s="9"/>
      <c r="AC7" s="76" t="s">
        <v>591</v>
      </c>
      <c r="AD7" s="23"/>
      <c r="AE7" s="76" t="s">
        <v>594</v>
      </c>
      <c r="AF7" s="9"/>
      <c r="AG7" s="76" t="s">
        <v>684</v>
      </c>
      <c r="AH7" s="9"/>
      <c r="AI7" s="75" t="s">
        <v>698</v>
      </c>
    </row>
    <row r="8" spans="1:39" s="71" customFormat="1" ht="12" customHeight="1" x14ac:dyDescent="0.2">
      <c r="E8" s="86"/>
      <c r="F8" s="86"/>
      <c r="G8" s="86"/>
      <c r="H8" s="8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2"/>
      <c r="V8" s="72"/>
      <c r="W8" s="72"/>
      <c r="X8" s="72"/>
      <c r="Y8" s="9"/>
      <c r="Z8" s="9"/>
      <c r="AA8" s="9"/>
      <c r="AB8" s="9"/>
      <c r="AC8" s="9"/>
      <c r="AD8" s="23"/>
      <c r="AE8" s="9"/>
      <c r="AF8" s="9"/>
      <c r="AG8" s="9"/>
      <c r="AH8" s="9"/>
      <c r="AI8" s="51"/>
    </row>
    <row r="9" spans="1:39" s="67" customFormat="1" ht="12" customHeight="1" x14ac:dyDescent="0.2">
      <c r="A9" s="1" t="s">
        <v>264</v>
      </c>
      <c r="B9" s="1"/>
      <c r="C9" s="1" t="s">
        <v>265</v>
      </c>
      <c r="D9" s="1"/>
      <c r="E9" s="68">
        <v>16686.080000000002</v>
      </c>
      <c r="F9" s="48"/>
      <c r="G9" s="68">
        <v>124003.3</v>
      </c>
      <c r="H9" s="68"/>
      <c r="I9" s="68">
        <v>90525.53</v>
      </c>
      <c r="J9" s="68"/>
      <c r="K9" s="68">
        <v>0</v>
      </c>
      <c r="L9" s="68"/>
      <c r="M9" s="68">
        <v>124787.56</v>
      </c>
      <c r="N9" s="68"/>
      <c r="O9" s="68">
        <v>92393.88</v>
      </c>
      <c r="P9" s="68"/>
      <c r="Q9" s="68">
        <v>104.97</v>
      </c>
      <c r="R9" s="68"/>
      <c r="S9" s="68">
        <v>8208.16</v>
      </c>
      <c r="T9" s="68"/>
      <c r="U9" s="68">
        <v>0</v>
      </c>
      <c r="V9" s="68"/>
      <c r="W9" s="68">
        <v>0</v>
      </c>
      <c r="X9" s="68"/>
      <c r="Y9" s="68">
        <v>0</v>
      </c>
      <c r="Z9" s="68"/>
      <c r="AA9" s="68">
        <v>0</v>
      </c>
      <c r="AB9" s="68"/>
      <c r="AC9" s="68">
        <v>0</v>
      </c>
      <c r="AD9" s="68"/>
      <c r="AE9" s="68">
        <v>0</v>
      </c>
      <c r="AF9" s="68"/>
      <c r="AG9" s="68">
        <v>29532.5</v>
      </c>
      <c r="AH9" s="68">
        <f t="shared" ref="AH9:AH48" si="0">SUM(D9:AF9)</f>
        <v>456709.47999999992</v>
      </c>
      <c r="AI9" s="68">
        <f t="shared" ref="AI9:AI49" si="1">SUM(E9:AG9)</f>
        <v>486241.97999999992</v>
      </c>
      <c r="AJ9" s="17"/>
      <c r="AK9" s="87"/>
      <c r="AL9" s="87"/>
      <c r="AM9" s="87"/>
    </row>
    <row r="10" spans="1:39" s="14" customFormat="1" ht="12" customHeight="1" x14ac:dyDescent="0.2">
      <c r="A10" s="1" t="s">
        <v>365</v>
      </c>
      <c r="B10" s="1"/>
      <c r="C10" s="1" t="s">
        <v>366</v>
      </c>
      <c r="D10" s="1"/>
      <c r="E10" s="48">
        <v>1141109</v>
      </c>
      <c r="F10" s="48"/>
      <c r="G10" s="48">
        <v>0</v>
      </c>
      <c r="H10" s="48"/>
      <c r="I10" s="48">
        <f>102204+4495</f>
        <v>106699</v>
      </c>
      <c r="J10" s="48"/>
      <c r="K10" s="48">
        <v>198176</v>
      </c>
      <c r="L10" s="48"/>
      <c r="M10" s="48">
        <v>41566</v>
      </c>
      <c r="N10" s="48"/>
      <c r="O10" s="48">
        <v>42075</v>
      </c>
      <c r="P10" s="48"/>
      <c r="Q10" s="48">
        <v>13978</v>
      </c>
      <c r="R10" s="48"/>
      <c r="S10" s="48">
        <v>1559876</v>
      </c>
      <c r="T10" s="48"/>
      <c r="U10" s="48">
        <v>0</v>
      </c>
      <c r="V10" s="48"/>
      <c r="W10" s="48">
        <v>0</v>
      </c>
      <c r="X10" s="48"/>
      <c r="Y10" s="48">
        <v>0</v>
      </c>
      <c r="Z10" s="48"/>
      <c r="AA10" s="48">
        <v>0</v>
      </c>
      <c r="AB10" s="48"/>
      <c r="AC10" s="48">
        <v>0</v>
      </c>
      <c r="AD10" s="48"/>
      <c r="AE10" s="48">
        <v>0</v>
      </c>
      <c r="AF10" s="48"/>
      <c r="AG10" s="48">
        <v>0</v>
      </c>
      <c r="AH10" s="19">
        <f t="shared" si="0"/>
        <v>3103479</v>
      </c>
      <c r="AI10" s="48">
        <f t="shared" si="1"/>
        <v>3103479</v>
      </c>
      <c r="AJ10" s="8"/>
      <c r="AK10" s="87"/>
    </row>
    <row r="11" spans="1:39" s="67" customFormat="1" ht="12" customHeight="1" x14ac:dyDescent="0.2">
      <c r="A11" s="6" t="s">
        <v>449</v>
      </c>
      <c r="B11" s="6"/>
      <c r="C11" s="6" t="s">
        <v>450</v>
      </c>
      <c r="D11" s="6"/>
      <c r="E11" s="48">
        <v>2273</v>
      </c>
      <c r="F11" s="48"/>
      <c r="G11" s="48">
        <v>0</v>
      </c>
      <c r="H11" s="48"/>
      <c r="I11" s="48">
        <v>10428</v>
      </c>
      <c r="J11" s="48"/>
      <c r="K11" s="48">
        <v>0</v>
      </c>
      <c r="L11" s="48"/>
      <c r="M11" s="48">
        <v>0</v>
      </c>
      <c r="N11" s="48"/>
      <c r="O11" s="48">
        <v>0</v>
      </c>
      <c r="P11" s="48"/>
      <c r="Q11" s="48">
        <v>96</v>
      </c>
      <c r="R11" s="48"/>
      <c r="S11" s="48">
        <v>0</v>
      </c>
      <c r="T11" s="48"/>
      <c r="U11" s="48">
        <v>0</v>
      </c>
      <c r="V11" s="48"/>
      <c r="W11" s="48">
        <v>0</v>
      </c>
      <c r="X11" s="48"/>
      <c r="Y11" s="48">
        <v>0</v>
      </c>
      <c r="Z11" s="48"/>
      <c r="AA11" s="48">
        <v>0</v>
      </c>
      <c r="AB11" s="48"/>
      <c r="AC11" s="48">
        <v>0</v>
      </c>
      <c r="AD11" s="48"/>
      <c r="AE11" s="48">
        <v>0</v>
      </c>
      <c r="AF11" s="48"/>
      <c r="AG11" s="48">
        <v>0</v>
      </c>
      <c r="AH11" s="19">
        <f t="shared" si="0"/>
        <v>12797</v>
      </c>
      <c r="AI11" s="48">
        <f t="shared" si="1"/>
        <v>12797</v>
      </c>
      <c r="AJ11" s="5"/>
    </row>
    <row r="12" spans="1:39" s="67" customFormat="1" ht="12" customHeight="1" x14ac:dyDescent="0.2">
      <c r="A12" s="1" t="s">
        <v>86</v>
      </c>
      <c r="B12" s="1"/>
      <c r="C12" s="1" t="s">
        <v>351</v>
      </c>
      <c r="D12" s="1"/>
      <c r="E12" s="48">
        <v>121939.39</v>
      </c>
      <c r="F12" s="48"/>
      <c r="G12" s="48">
        <v>531613.81000000006</v>
      </c>
      <c r="H12" s="48"/>
      <c r="I12" s="48">
        <v>15598.46</v>
      </c>
      <c r="J12" s="48"/>
      <c r="K12" s="48">
        <v>0</v>
      </c>
      <c r="L12" s="48"/>
      <c r="M12" s="48">
        <v>40788.18</v>
      </c>
      <c r="N12" s="48"/>
      <c r="O12" s="48">
        <v>111956.4</v>
      </c>
      <c r="P12" s="48"/>
      <c r="Q12" s="48">
        <v>0</v>
      </c>
      <c r="R12" s="48"/>
      <c r="S12" s="48">
        <v>0</v>
      </c>
      <c r="T12" s="48"/>
      <c r="U12" s="48">
        <v>0</v>
      </c>
      <c r="V12" s="48"/>
      <c r="W12" s="48">
        <v>0</v>
      </c>
      <c r="X12" s="48"/>
      <c r="Y12" s="48">
        <v>0</v>
      </c>
      <c r="Z12" s="48"/>
      <c r="AA12" s="48">
        <v>0</v>
      </c>
      <c r="AB12" s="48"/>
      <c r="AC12" s="48">
        <v>0</v>
      </c>
      <c r="AD12" s="48"/>
      <c r="AE12" s="48">
        <v>0</v>
      </c>
      <c r="AF12" s="48"/>
      <c r="AG12" s="48">
        <v>0</v>
      </c>
      <c r="AH12" s="19">
        <f t="shared" si="0"/>
        <v>821896.24000000011</v>
      </c>
      <c r="AI12" s="48">
        <f t="shared" si="1"/>
        <v>821896.24000000011</v>
      </c>
      <c r="AJ12" s="5"/>
      <c r="AK12" s="1"/>
      <c r="AL12" s="1"/>
      <c r="AM12" s="1"/>
    </row>
    <row r="13" spans="1:39" ht="12" customHeight="1" x14ac:dyDescent="0.2">
      <c r="A13" s="1" t="s">
        <v>195</v>
      </c>
      <c r="C13" s="1" t="s">
        <v>485</v>
      </c>
      <c r="E13" s="48">
        <v>31186.25</v>
      </c>
      <c r="F13" s="48"/>
      <c r="G13" s="48">
        <v>0</v>
      </c>
      <c r="H13" s="48"/>
      <c r="I13" s="48">
        <v>16731.3</v>
      </c>
      <c r="J13" s="48"/>
      <c r="K13" s="48">
        <v>0</v>
      </c>
      <c r="L13" s="48"/>
      <c r="M13" s="48">
        <v>0</v>
      </c>
      <c r="N13" s="48"/>
      <c r="O13" s="48">
        <v>3870.8</v>
      </c>
      <c r="P13" s="48"/>
      <c r="Q13" s="48">
        <v>70.58</v>
      </c>
      <c r="R13" s="48"/>
      <c r="S13" s="48">
        <v>2838.94</v>
      </c>
      <c r="T13" s="48"/>
      <c r="U13" s="48">
        <v>0</v>
      </c>
      <c r="V13" s="48"/>
      <c r="W13" s="48">
        <v>0</v>
      </c>
      <c r="X13" s="48"/>
      <c r="Y13" s="48">
        <v>0</v>
      </c>
      <c r="Z13" s="48"/>
      <c r="AA13" s="48">
        <v>0</v>
      </c>
      <c r="AB13" s="48"/>
      <c r="AC13" s="48">
        <v>0</v>
      </c>
      <c r="AD13" s="48"/>
      <c r="AE13" s="48">
        <v>0</v>
      </c>
      <c r="AF13" s="48"/>
      <c r="AG13" s="48">
        <v>0</v>
      </c>
      <c r="AH13" s="19">
        <f t="shared" si="0"/>
        <v>54697.87000000001</v>
      </c>
      <c r="AI13" s="48">
        <f t="shared" si="1"/>
        <v>54697.87000000001</v>
      </c>
      <c r="AJ13" s="5"/>
      <c r="AK13" s="87"/>
      <c r="AL13" s="87"/>
      <c r="AM13" s="87"/>
    </row>
    <row r="14" spans="1:39" ht="12" customHeight="1" x14ac:dyDescent="0.2">
      <c r="A14" s="1" t="s">
        <v>759</v>
      </c>
      <c r="C14" s="1" t="s">
        <v>390</v>
      </c>
      <c r="E14" s="48">
        <v>44114</v>
      </c>
      <c r="F14" s="48"/>
      <c r="G14" s="48">
        <v>0</v>
      </c>
      <c r="H14" s="48"/>
      <c r="I14" s="48">
        <v>33298</v>
      </c>
      <c r="J14" s="48"/>
      <c r="K14" s="48">
        <v>0</v>
      </c>
      <c r="L14" s="48"/>
      <c r="M14" s="48">
        <v>0</v>
      </c>
      <c r="N14" s="48"/>
      <c r="O14" s="48">
        <v>1035</v>
      </c>
      <c r="P14" s="48"/>
      <c r="Q14" s="48">
        <v>0</v>
      </c>
      <c r="R14" s="48"/>
      <c r="S14" s="48">
        <v>5184</v>
      </c>
      <c r="T14" s="48"/>
      <c r="U14" s="48">
        <v>0</v>
      </c>
      <c r="V14" s="48"/>
      <c r="W14" s="48">
        <v>0</v>
      </c>
      <c r="X14" s="48"/>
      <c r="Y14" s="48">
        <v>0</v>
      </c>
      <c r="Z14" s="48"/>
      <c r="AA14" s="48">
        <v>0</v>
      </c>
      <c r="AB14" s="48"/>
      <c r="AC14" s="48">
        <v>0</v>
      </c>
      <c r="AD14" s="48"/>
      <c r="AE14" s="48">
        <v>0</v>
      </c>
      <c r="AF14" s="48"/>
      <c r="AG14" s="48">
        <v>0</v>
      </c>
      <c r="AH14" s="19">
        <f t="shared" si="0"/>
        <v>83631</v>
      </c>
      <c r="AI14" s="48">
        <f t="shared" si="1"/>
        <v>83631</v>
      </c>
      <c r="AJ14" s="5"/>
      <c r="AK14" s="67"/>
      <c r="AL14" s="67"/>
      <c r="AM14" s="67"/>
    </row>
    <row r="15" spans="1:39" s="67" customFormat="1" ht="12" customHeight="1" x14ac:dyDescent="0.2">
      <c r="A15" s="1" t="s">
        <v>252</v>
      </c>
      <c r="B15" s="1"/>
      <c r="C15" s="1" t="s">
        <v>253</v>
      </c>
      <c r="D15" s="1"/>
      <c r="E15" s="48">
        <v>27716.09</v>
      </c>
      <c r="F15" s="48"/>
      <c r="G15" s="48">
        <v>0</v>
      </c>
      <c r="H15" s="48"/>
      <c r="I15" s="48">
        <v>24513.040000000001</v>
      </c>
      <c r="J15" s="48"/>
      <c r="K15" s="48">
        <v>0</v>
      </c>
      <c r="L15" s="48"/>
      <c r="M15" s="48">
        <v>7500</v>
      </c>
      <c r="N15" s="48"/>
      <c r="O15" s="48">
        <v>16220.9</v>
      </c>
      <c r="P15" s="48"/>
      <c r="Q15" s="48">
        <v>1409.16</v>
      </c>
      <c r="R15" s="48"/>
      <c r="S15" s="48">
        <v>552.65</v>
      </c>
      <c r="T15" s="48"/>
      <c r="U15" s="48">
        <v>0</v>
      </c>
      <c r="V15" s="48"/>
      <c r="W15" s="48">
        <v>0</v>
      </c>
      <c r="X15" s="48"/>
      <c r="Y15" s="48">
        <v>0</v>
      </c>
      <c r="Z15" s="48"/>
      <c r="AA15" s="48">
        <v>0</v>
      </c>
      <c r="AB15" s="48"/>
      <c r="AC15" s="48">
        <v>0</v>
      </c>
      <c r="AD15" s="48"/>
      <c r="AE15" s="48">
        <v>0</v>
      </c>
      <c r="AF15" s="48"/>
      <c r="AG15" s="48">
        <v>0</v>
      </c>
      <c r="AH15" s="19">
        <f t="shared" si="0"/>
        <v>77911.839999999997</v>
      </c>
      <c r="AI15" s="48">
        <f t="shared" si="1"/>
        <v>77911.839999999997</v>
      </c>
      <c r="AJ15" s="5"/>
      <c r="AK15" s="87"/>
      <c r="AL15" s="87"/>
      <c r="AM15" s="87"/>
    </row>
    <row r="16" spans="1:39" s="67" customFormat="1" ht="12" customHeight="1" x14ac:dyDescent="0.2">
      <c r="A16" s="1" t="s">
        <v>121</v>
      </c>
      <c r="B16" s="1"/>
      <c r="C16" s="1" t="s">
        <v>408</v>
      </c>
      <c r="D16" s="1"/>
      <c r="E16" s="48">
        <v>39856.699999999997</v>
      </c>
      <c r="F16" s="48"/>
      <c r="G16" s="48">
        <v>0</v>
      </c>
      <c r="H16" s="48"/>
      <c r="I16" s="48">
        <v>36653.58</v>
      </c>
      <c r="J16" s="48"/>
      <c r="K16" s="48">
        <v>0</v>
      </c>
      <c r="L16" s="48"/>
      <c r="M16" s="48">
        <v>15</v>
      </c>
      <c r="N16" s="48"/>
      <c r="O16" s="48">
        <v>4341.24</v>
      </c>
      <c r="P16" s="48"/>
      <c r="Q16" s="48">
        <v>115.09</v>
      </c>
      <c r="R16" s="48"/>
      <c r="S16" s="48">
        <v>0</v>
      </c>
      <c r="T16" s="48"/>
      <c r="U16" s="48">
        <v>0</v>
      </c>
      <c r="V16" s="48"/>
      <c r="W16" s="48">
        <v>0</v>
      </c>
      <c r="X16" s="48"/>
      <c r="Y16" s="48">
        <v>0</v>
      </c>
      <c r="Z16" s="48"/>
      <c r="AA16" s="48">
        <v>0</v>
      </c>
      <c r="AB16" s="48"/>
      <c r="AC16" s="48">
        <v>0</v>
      </c>
      <c r="AD16" s="48"/>
      <c r="AE16" s="48">
        <v>0</v>
      </c>
      <c r="AF16" s="48"/>
      <c r="AG16" s="48">
        <v>0</v>
      </c>
      <c r="AH16" s="19">
        <f t="shared" si="0"/>
        <v>80981.61</v>
      </c>
      <c r="AI16" s="48">
        <f t="shared" si="1"/>
        <v>80981.61</v>
      </c>
      <c r="AJ16" s="5"/>
    </row>
    <row r="17" spans="1:39" ht="12" customHeight="1" x14ac:dyDescent="0.2">
      <c r="A17" s="1" t="s">
        <v>652</v>
      </c>
      <c r="C17" s="1" t="s">
        <v>366</v>
      </c>
      <c r="E17" s="48">
        <v>15263.94</v>
      </c>
      <c r="F17" s="48"/>
      <c r="G17" s="48">
        <v>51576.94</v>
      </c>
      <c r="H17" s="48"/>
      <c r="I17" s="48">
        <v>14834.54</v>
      </c>
      <c r="J17" s="48"/>
      <c r="K17" s="48">
        <v>0</v>
      </c>
      <c r="L17" s="48"/>
      <c r="M17" s="48">
        <v>0</v>
      </c>
      <c r="N17" s="48"/>
      <c r="O17" s="48">
        <v>4946.57</v>
      </c>
      <c r="P17" s="48"/>
      <c r="Q17" s="48">
        <v>294.23</v>
      </c>
      <c r="R17" s="48"/>
      <c r="S17" s="48">
        <v>3616.91</v>
      </c>
      <c r="T17" s="48"/>
      <c r="U17" s="48">
        <v>0</v>
      </c>
      <c r="V17" s="48"/>
      <c r="W17" s="48">
        <v>0</v>
      </c>
      <c r="X17" s="48"/>
      <c r="Y17" s="48">
        <v>0</v>
      </c>
      <c r="Z17" s="48"/>
      <c r="AA17" s="48">
        <v>0</v>
      </c>
      <c r="AB17" s="48"/>
      <c r="AC17" s="48">
        <v>0</v>
      </c>
      <c r="AD17" s="48"/>
      <c r="AE17" s="48">
        <v>0</v>
      </c>
      <c r="AF17" s="48"/>
      <c r="AG17" s="48">
        <v>0</v>
      </c>
      <c r="AH17" s="19">
        <f t="shared" si="0"/>
        <v>90533.130000000019</v>
      </c>
      <c r="AI17" s="48">
        <f t="shared" si="1"/>
        <v>90533.130000000019</v>
      </c>
      <c r="AJ17" s="5"/>
    </row>
    <row r="18" spans="1:39" ht="12" customHeight="1" x14ac:dyDescent="0.2">
      <c r="A18" s="1" t="s">
        <v>618</v>
      </c>
      <c r="C18" s="1" t="s">
        <v>327</v>
      </c>
      <c r="E18" s="48">
        <v>30612.11</v>
      </c>
      <c r="F18" s="48"/>
      <c r="G18" s="48">
        <v>0</v>
      </c>
      <c r="H18" s="48"/>
      <c r="I18" s="48">
        <v>10415.76</v>
      </c>
      <c r="J18" s="48"/>
      <c r="K18" s="48">
        <v>0</v>
      </c>
      <c r="L18" s="48"/>
      <c r="M18" s="48">
        <v>71981.570000000007</v>
      </c>
      <c r="N18" s="48"/>
      <c r="O18" s="48">
        <v>895</v>
      </c>
      <c r="P18" s="48"/>
      <c r="Q18" s="48">
        <v>207.53</v>
      </c>
      <c r="R18" s="48"/>
      <c r="S18" s="48">
        <v>3330.58</v>
      </c>
      <c r="T18" s="48"/>
      <c r="U18" s="48">
        <v>0</v>
      </c>
      <c r="V18" s="48"/>
      <c r="W18" s="48">
        <v>0</v>
      </c>
      <c r="X18" s="48"/>
      <c r="Y18" s="48">
        <v>0</v>
      </c>
      <c r="Z18" s="48"/>
      <c r="AA18" s="48">
        <v>0</v>
      </c>
      <c r="AB18" s="48"/>
      <c r="AC18" s="48">
        <v>0</v>
      </c>
      <c r="AD18" s="48"/>
      <c r="AE18" s="48">
        <v>0</v>
      </c>
      <c r="AF18" s="48"/>
      <c r="AG18" s="48">
        <v>0</v>
      </c>
      <c r="AH18" s="19">
        <f t="shared" si="0"/>
        <v>117442.55</v>
      </c>
      <c r="AI18" s="48">
        <f t="shared" si="1"/>
        <v>117442.55</v>
      </c>
      <c r="AJ18" s="5"/>
      <c r="AK18" s="4"/>
      <c r="AL18" s="4"/>
      <c r="AM18" s="4"/>
    </row>
    <row r="19" spans="1:39" s="67" customFormat="1" ht="12" customHeight="1" x14ac:dyDescent="0.2">
      <c r="A19" s="1" t="s">
        <v>350</v>
      </c>
      <c r="B19" s="1"/>
      <c r="C19" s="1" t="s">
        <v>351</v>
      </c>
      <c r="D19" s="1"/>
      <c r="E19" s="48">
        <v>942644.48</v>
      </c>
      <c r="F19" s="48"/>
      <c r="G19" s="48">
        <v>2614329.5499999998</v>
      </c>
      <c r="H19" s="48"/>
      <c r="I19" s="48">
        <v>698380.27</v>
      </c>
      <c r="J19" s="48"/>
      <c r="K19" s="48">
        <v>0</v>
      </c>
      <c r="L19" s="48"/>
      <c r="M19" s="48">
        <v>363886.85</v>
      </c>
      <c r="N19" s="48"/>
      <c r="O19" s="48">
        <v>161444.51999999999</v>
      </c>
      <c r="P19" s="48"/>
      <c r="Q19" s="48">
        <v>12226.28</v>
      </c>
      <c r="R19" s="48"/>
      <c r="S19" s="48">
        <v>58445.75</v>
      </c>
      <c r="T19" s="48"/>
      <c r="U19" s="48">
        <v>0</v>
      </c>
      <c r="V19" s="48"/>
      <c r="W19" s="48">
        <v>0</v>
      </c>
      <c r="X19" s="48"/>
      <c r="Y19" s="48">
        <v>200</v>
      </c>
      <c r="Z19" s="48"/>
      <c r="AA19" s="48">
        <v>214.62</v>
      </c>
      <c r="AB19" s="48"/>
      <c r="AC19" s="48">
        <v>0</v>
      </c>
      <c r="AD19" s="48"/>
      <c r="AE19" s="48">
        <v>0</v>
      </c>
      <c r="AF19" s="48"/>
      <c r="AG19" s="48">
        <v>0</v>
      </c>
      <c r="AH19" s="19">
        <f t="shared" si="0"/>
        <v>4851772.3199999994</v>
      </c>
      <c r="AI19" s="48">
        <f t="shared" si="1"/>
        <v>4851772.3199999994</v>
      </c>
      <c r="AJ19" s="5"/>
      <c r="AK19" s="1"/>
      <c r="AL19" s="1"/>
      <c r="AM19" s="1"/>
    </row>
    <row r="20" spans="1:39" s="67" customFormat="1" ht="12" customHeight="1" x14ac:dyDescent="0.2">
      <c r="A20" s="1" t="s">
        <v>35</v>
      </c>
      <c r="B20" s="1"/>
      <c r="C20" s="1" t="s">
        <v>277</v>
      </c>
      <c r="D20" s="1"/>
      <c r="E20" s="48">
        <v>110014.25</v>
      </c>
      <c r="F20" s="48"/>
      <c r="G20" s="48">
        <v>0</v>
      </c>
      <c r="H20" s="48"/>
      <c r="I20" s="48">
        <v>80258.720000000001</v>
      </c>
      <c r="J20" s="48"/>
      <c r="K20" s="48">
        <v>2626.74</v>
      </c>
      <c r="L20" s="48"/>
      <c r="M20" s="48">
        <v>11527.77</v>
      </c>
      <c r="N20" s="48"/>
      <c r="O20" s="48">
        <v>134185.63</v>
      </c>
      <c r="P20" s="48"/>
      <c r="Q20" s="48">
        <v>203.37</v>
      </c>
      <c r="R20" s="48"/>
      <c r="S20" s="48">
        <v>7387.2</v>
      </c>
      <c r="T20" s="48"/>
      <c r="U20" s="48">
        <v>0</v>
      </c>
      <c r="V20" s="48"/>
      <c r="W20" s="48">
        <v>0</v>
      </c>
      <c r="X20" s="48"/>
      <c r="Y20" s="48">
        <v>0</v>
      </c>
      <c r="Z20" s="48"/>
      <c r="AA20" s="48">
        <v>0</v>
      </c>
      <c r="AB20" s="48"/>
      <c r="AC20" s="48">
        <v>15000</v>
      </c>
      <c r="AD20" s="48"/>
      <c r="AE20" s="48">
        <v>2700</v>
      </c>
      <c r="AF20" s="48"/>
      <c r="AG20" s="48">
        <v>0</v>
      </c>
      <c r="AH20" s="19">
        <f t="shared" si="0"/>
        <v>363903.68</v>
      </c>
      <c r="AI20" s="48">
        <f t="shared" si="1"/>
        <v>363903.68</v>
      </c>
      <c r="AJ20" s="5"/>
    </row>
    <row r="21" spans="1:39" s="67" customFormat="1" ht="12" customHeight="1" x14ac:dyDescent="0.2">
      <c r="A21" s="1" t="s">
        <v>9</v>
      </c>
      <c r="B21" s="1"/>
      <c r="C21" s="1" t="s">
        <v>253</v>
      </c>
      <c r="D21" s="1"/>
      <c r="E21" s="48">
        <v>28562.09</v>
      </c>
      <c r="F21" s="48"/>
      <c r="G21" s="48">
        <v>0</v>
      </c>
      <c r="H21" s="48"/>
      <c r="I21" s="48">
        <v>2101.5300000000002</v>
      </c>
      <c r="J21" s="48"/>
      <c r="K21" s="48">
        <v>0</v>
      </c>
      <c r="L21" s="48"/>
      <c r="M21" s="48">
        <v>0</v>
      </c>
      <c r="N21" s="48"/>
      <c r="O21" s="48">
        <v>1795.07</v>
      </c>
      <c r="P21" s="48"/>
      <c r="Q21" s="48">
        <v>40.99</v>
      </c>
      <c r="R21" s="48"/>
      <c r="S21" s="48">
        <v>3711.55</v>
      </c>
      <c r="T21" s="48"/>
      <c r="U21" s="48">
        <v>0</v>
      </c>
      <c r="V21" s="48"/>
      <c r="W21" s="48">
        <v>0</v>
      </c>
      <c r="X21" s="48"/>
      <c r="Y21" s="48">
        <v>0</v>
      </c>
      <c r="Z21" s="48"/>
      <c r="AA21" s="48">
        <v>0</v>
      </c>
      <c r="AB21" s="48"/>
      <c r="AC21" s="48">
        <v>0</v>
      </c>
      <c r="AD21" s="48"/>
      <c r="AE21" s="48">
        <v>0</v>
      </c>
      <c r="AF21" s="48"/>
      <c r="AG21" s="48">
        <v>0</v>
      </c>
      <c r="AH21" s="19">
        <f t="shared" si="0"/>
        <v>36211.230000000003</v>
      </c>
      <c r="AI21" s="48">
        <f t="shared" si="1"/>
        <v>36211.230000000003</v>
      </c>
      <c r="AJ21" s="5"/>
    </row>
    <row r="22" spans="1:39" s="67" customFormat="1" ht="12" customHeight="1" x14ac:dyDescent="0.2">
      <c r="A22" s="1" t="s">
        <v>391</v>
      </c>
      <c r="B22" s="1"/>
      <c r="C22" s="1" t="s">
        <v>390</v>
      </c>
      <c r="D22" s="1"/>
      <c r="E22" s="48">
        <v>18804</v>
      </c>
      <c r="F22" s="48"/>
      <c r="G22" s="48">
        <v>0</v>
      </c>
      <c r="H22" s="48"/>
      <c r="I22" s="48">
        <v>12435</v>
      </c>
      <c r="J22" s="48"/>
      <c r="K22" s="48">
        <v>0</v>
      </c>
      <c r="L22" s="48"/>
      <c r="M22" s="48">
        <v>0</v>
      </c>
      <c r="N22" s="48"/>
      <c r="O22" s="48">
        <v>1057</v>
      </c>
      <c r="P22" s="48"/>
      <c r="Q22" s="48">
        <v>99</v>
      </c>
      <c r="R22" s="48"/>
      <c r="S22" s="48">
        <v>8790</v>
      </c>
      <c r="T22" s="48"/>
      <c r="U22" s="48">
        <v>0</v>
      </c>
      <c r="V22" s="48"/>
      <c r="W22" s="48">
        <v>0</v>
      </c>
      <c r="X22" s="48"/>
      <c r="Y22" s="48">
        <v>0</v>
      </c>
      <c r="Z22" s="48"/>
      <c r="AA22" s="48">
        <v>0</v>
      </c>
      <c r="AB22" s="48"/>
      <c r="AC22" s="48">
        <v>0</v>
      </c>
      <c r="AD22" s="48"/>
      <c r="AE22" s="48">
        <v>0</v>
      </c>
      <c r="AF22" s="48"/>
      <c r="AG22" s="48">
        <v>0</v>
      </c>
      <c r="AH22" s="19">
        <f t="shared" si="0"/>
        <v>41185</v>
      </c>
      <c r="AI22" s="48">
        <f t="shared" si="1"/>
        <v>41185</v>
      </c>
      <c r="AJ22" s="5"/>
    </row>
    <row r="23" spans="1:39" s="6" customFormat="1" ht="12" customHeight="1" x14ac:dyDescent="0.2">
      <c r="A23" s="1" t="s">
        <v>793</v>
      </c>
      <c r="B23" s="1"/>
      <c r="C23" s="1" t="s">
        <v>624</v>
      </c>
      <c r="D23" s="1"/>
      <c r="E23" s="48">
        <v>77034.38</v>
      </c>
      <c r="F23" s="48"/>
      <c r="G23" s="48">
        <v>381841.46</v>
      </c>
      <c r="H23" s="48"/>
      <c r="I23" s="48">
        <v>57933.61</v>
      </c>
      <c r="J23" s="48"/>
      <c r="K23" s="48">
        <v>0</v>
      </c>
      <c r="L23" s="48"/>
      <c r="M23" s="48">
        <v>1327.49</v>
      </c>
      <c r="N23" s="48"/>
      <c r="O23" s="48">
        <v>16184.66</v>
      </c>
      <c r="P23" s="48"/>
      <c r="Q23" s="48">
        <v>511.16</v>
      </c>
      <c r="R23" s="48"/>
      <c r="S23" s="48">
        <v>3427.72</v>
      </c>
      <c r="T23" s="48"/>
      <c r="U23" s="48">
        <v>0</v>
      </c>
      <c r="V23" s="48"/>
      <c r="W23" s="48">
        <v>0</v>
      </c>
      <c r="X23" s="48"/>
      <c r="Y23" s="48">
        <v>0</v>
      </c>
      <c r="Z23" s="48"/>
      <c r="AA23" s="48">
        <v>0</v>
      </c>
      <c r="AB23" s="48"/>
      <c r="AC23" s="48">
        <v>0</v>
      </c>
      <c r="AD23" s="48"/>
      <c r="AE23" s="48">
        <v>0</v>
      </c>
      <c r="AF23" s="48"/>
      <c r="AG23" s="48">
        <v>0</v>
      </c>
      <c r="AH23" s="19">
        <f t="shared" si="0"/>
        <v>538260.47999999998</v>
      </c>
      <c r="AI23" s="48">
        <f t="shared" si="1"/>
        <v>538260.47999999998</v>
      </c>
      <c r="AJ23" s="5"/>
      <c r="AK23" s="67"/>
      <c r="AL23" s="67"/>
      <c r="AM23" s="67"/>
    </row>
    <row r="24" spans="1:39" s="67" customFormat="1" ht="12" customHeight="1" x14ac:dyDescent="0.2">
      <c r="A24" s="1" t="s">
        <v>206</v>
      </c>
      <c r="B24" s="1"/>
      <c r="C24" s="1" t="s">
        <v>498</v>
      </c>
      <c r="D24" s="1"/>
      <c r="E24" s="48">
        <v>42144.35</v>
      </c>
      <c r="F24" s="48"/>
      <c r="G24" s="48">
        <v>558376.05000000005</v>
      </c>
      <c r="H24" s="48"/>
      <c r="I24" s="48">
        <v>40849.46</v>
      </c>
      <c r="J24" s="48"/>
      <c r="K24" s="48">
        <v>0</v>
      </c>
      <c r="L24" s="48"/>
      <c r="M24" s="48">
        <v>3190</v>
      </c>
      <c r="N24" s="48"/>
      <c r="O24" s="48">
        <v>44616.41</v>
      </c>
      <c r="P24" s="48"/>
      <c r="Q24" s="48">
        <v>129.93</v>
      </c>
      <c r="R24" s="48"/>
      <c r="S24" s="48">
        <v>9421.66</v>
      </c>
      <c r="T24" s="48"/>
      <c r="U24" s="48">
        <v>0</v>
      </c>
      <c r="V24" s="48"/>
      <c r="W24" s="48">
        <v>0</v>
      </c>
      <c r="X24" s="48"/>
      <c r="Y24" s="48">
        <v>0</v>
      </c>
      <c r="Z24" s="48"/>
      <c r="AA24" s="48">
        <v>0</v>
      </c>
      <c r="AB24" s="48"/>
      <c r="AC24" s="48">
        <v>12500</v>
      </c>
      <c r="AD24" s="48"/>
      <c r="AE24" s="48">
        <v>0</v>
      </c>
      <c r="AF24" s="48"/>
      <c r="AG24" s="48">
        <v>15723.1</v>
      </c>
      <c r="AH24" s="19">
        <f t="shared" si="0"/>
        <v>711227.8600000001</v>
      </c>
      <c r="AI24" s="48">
        <f t="shared" si="1"/>
        <v>726950.96000000008</v>
      </c>
      <c r="AJ24" s="5"/>
    </row>
    <row r="25" spans="1:39" ht="12" customHeight="1" x14ac:dyDescent="0.2">
      <c r="A25" s="1" t="s">
        <v>305</v>
      </c>
      <c r="C25" s="1" t="s">
        <v>306</v>
      </c>
      <c r="E25" s="48">
        <v>66866</v>
      </c>
      <c r="F25" s="48"/>
      <c r="G25" s="48">
        <v>124457</v>
      </c>
      <c r="H25" s="48"/>
      <c r="I25" s="48">
        <v>46516</v>
      </c>
      <c r="J25" s="48"/>
      <c r="K25" s="48">
        <v>27177</v>
      </c>
      <c r="L25" s="48"/>
      <c r="M25" s="48">
        <v>10731</v>
      </c>
      <c r="N25" s="48"/>
      <c r="O25" s="48">
        <v>175</v>
      </c>
      <c r="P25" s="48"/>
      <c r="Q25" s="48">
        <v>315</v>
      </c>
      <c r="R25" s="48"/>
      <c r="S25" s="48">
        <v>20781</v>
      </c>
      <c r="T25" s="48"/>
      <c r="U25" s="48">
        <v>0</v>
      </c>
      <c r="V25" s="48"/>
      <c r="W25" s="48">
        <v>0</v>
      </c>
      <c r="X25" s="48"/>
      <c r="Y25" s="48">
        <v>0</v>
      </c>
      <c r="Z25" s="48"/>
      <c r="AA25" s="48">
        <v>0</v>
      </c>
      <c r="AB25" s="48"/>
      <c r="AC25" s="48">
        <v>0</v>
      </c>
      <c r="AD25" s="48"/>
      <c r="AE25" s="48">
        <v>0</v>
      </c>
      <c r="AF25" s="48"/>
      <c r="AG25" s="48">
        <v>0</v>
      </c>
      <c r="AH25" s="19">
        <f t="shared" si="0"/>
        <v>297018</v>
      </c>
      <c r="AI25" s="48">
        <f t="shared" si="1"/>
        <v>297018</v>
      </c>
      <c r="AJ25" s="8"/>
      <c r="AK25" s="6"/>
      <c r="AL25" s="6"/>
      <c r="AM25" s="6"/>
    </row>
    <row r="26" spans="1:39" s="67" customFormat="1" ht="12" customHeight="1" x14ac:dyDescent="0.2">
      <c r="A26" s="1" t="s">
        <v>440</v>
      </c>
      <c r="B26" s="1"/>
      <c r="C26" s="1" t="s">
        <v>441</v>
      </c>
      <c r="D26" s="1"/>
      <c r="E26" s="48">
        <v>880</v>
      </c>
      <c r="F26" s="48"/>
      <c r="G26" s="48">
        <v>0</v>
      </c>
      <c r="H26" s="48"/>
      <c r="I26" s="48">
        <v>4699</v>
      </c>
      <c r="J26" s="48"/>
      <c r="K26" s="48">
        <v>0</v>
      </c>
      <c r="L26" s="48"/>
      <c r="M26" s="48">
        <v>0</v>
      </c>
      <c r="N26" s="48"/>
      <c r="O26" s="48">
        <v>0</v>
      </c>
      <c r="P26" s="48"/>
      <c r="Q26" s="48">
        <v>0</v>
      </c>
      <c r="R26" s="48"/>
      <c r="S26" s="48">
        <v>2676</v>
      </c>
      <c r="T26" s="48"/>
      <c r="U26" s="48">
        <v>0</v>
      </c>
      <c r="V26" s="48"/>
      <c r="W26" s="48">
        <v>0</v>
      </c>
      <c r="X26" s="48"/>
      <c r="Y26" s="48">
        <v>0</v>
      </c>
      <c r="Z26" s="48"/>
      <c r="AA26" s="48">
        <v>0</v>
      </c>
      <c r="AB26" s="48"/>
      <c r="AC26" s="48">
        <v>0</v>
      </c>
      <c r="AD26" s="48"/>
      <c r="AE26" s="48">
        <v>0</v>
      </c>
      <c r="AF26" s="48"/>
      <c r="AG26" s="48">
        <v>0</v>
      </c>
      <c r="AH26" s="19">
        <f t="shared" si="0"/>
        <v>8255</v>
      </c>
      <c r="AI26" s="48">
        <f t="shared" si="1"/>
        <v>8255</v>
      </c>
      <c r="AJ26" s="5"/>
      <c r="AK26" s="1"/>
      <c r="AL26" s="1"/>
      <c r="AM26" s="1"/>
    </row>
    <row r="27" spans="1:39" ht="12" customHeight="1" x14ac:dyDescent="0.2">
      <c r="A27" s="1" t="s">
        <v>459</v>
      </c>
      <c r="C27" s="1" t="s">
        <v>460</v>
      </c>
      <c r="E27" s="48">
        <v>46146</v>
      </c>
      <c r="F27" s="48"/>
      <c r="G27" s="48">
        <v>251402</v>
      </c>
      <c r="H27" s="48"/>
      <c r="I27" s="48">
        <v>43617</v>
      </c>
      <c r="J27" s="48"/>
      <c r="K27" s="48">
        <v>0</v>
      </c>
      <c r="L27" s="48"/>
      <c r="M27" s="48">
        <v>0</v>
      </c>
      <c r="N27" s="48"/>
      <c r="O27" s="48">
        <v>11480</v>
      </c>
      <c r="P27" s="48"/>
      <c r="Q27" s="48">
        <v>2500</v>
      </c>
      <c r="R27" s="48"/>
      <c r="S27" s="48">
        <v>45166</v>
      </c>
      <c r="T27" s="48"/>
      <c r="U27" s="48">
        <v>0</v>
      </c>
      <c r="V27" s="48"/>
      <c r="W27" s="48">
        <v>0</v>
      </c>
      <c r="X27" s="48"/>
      <c r="Y27" s="48">
        <v>0</v>
      </c>
      <c r="Z27" s="48"/>
      <c r="AA27" s="48">
        <v>0</v>
      </c>
      <c r="AB27" s="48"/>
      <c r="AC27" s="48">
        <v>42485</v>
      </c>
      <c r="AD27" s="48"/>
      <c r="AE27" s="48">
        <v>0</v>
      </c>
      <c r="AF27" s="48"/>
      <c r="AG27" s="48">
        <v>0</v>
      </c>
      <c r="AH27" s="19">
        <f t="shared" si="0"/>
        <v>442796</v>
      </c>
      <c r="AI27" s="48">
        <f t="shared" si="1"/>
        <v>442796</v>
      </c>
      <c r="AJ27" s="5"/>
      <c r="AK27" s="87"/>
      <c r="AL27" s="87"/>
      <c r="AM27" s="87"/>
    </row>
    <row r="28" spans="1:39" s="67" customFormat="1" ht="12" customHeight="1" x14ac:dyDescent="0.2">
      <c r="A28" s="1" t="s">
        <v>546</v>
      </c>
      <c r="B28" s="1"/>
      <c r="C28" s="1" t="s">
        <v>547</v>
      </c>
      <c r="D28" s="1"/>
      <c r="E28" s="48">
        <v>46051</v>
      </c>
      <c r="F28" s="48"/>
      <c r="G28" s="48">
        <v>207443</v>
      </c>
      <c r="H28" s="48"/>
      <c r="I28" s="48">
        <v>22759</v>
      </c>
      <c r="J28" s="48"/>
      <c r="K28" s="48">
        <v>0</v>
      </c>
      <c r="L28" s="48"/>
      <c r="M28" s="48">
        <v>0</v>
      </c>
      <c r="N28" s="48"/>
      <c r="O28" s="48">
        <v>6013</v>
      </c>
      <c r="P28" s="48"/>
      <c r="Q28" s="48">
        <v>5875</v>
      </c>
      <c r="R28" s="48"/>
      <c r="S28" s="48">
        <v>27094</v>
      </c>
      <c r="T28" s="48"/>
      <c r="U28" s="48">
        <v>0</v>
      </c>
      <c r="V28" s="48"/>
      <c r="W28" s="48">
        <v>0</v>
      </c>
      <c r="X28" s="48"/>
      <c r="Y28" s="48">
        <v>0</v>
      </c>
      <c r="Z28" s="48"/>
      <c r="AA28" s="48">
        <v>0</v>
      </c>
      <c r="AB28" s="48"/>
      <c r="AC28" s="48">
        <v>30000</v>
      </c>
      <c r="AD28" s="48"/>
      <c r="AE28" s="48">
        <v>0</v>
      </c>
      <c r="AF28" s="48"/>
      <c r="AG28" s="48">
        <v>0</v>
      </c>
      <c r="AH28" s="19">
        <f t="shared" si="0"/>
        <v>345235</v>
      </c>
      <c r="AI28" s="48">
        <f t="shared" si="1"/>
        <v>345235</v>
      </c>
      <c r="AJ28" s="5"/>
    </row>
    <row r="29" spans="1:39" s="67" customFormat="1" ht="12" customHeight="1" x14ac:dyDescent="0.2">
      <c r="A29" s="1" t="s">
        <v>653</v>
      </c>
      <c r="B29" s="1"/>
      <c r="C29" s="1" t="s">
        <v>342</v>
      </c>
      <c r="D29" s="1"/>
      <c r="E29" s="48">
        <v>10996.66</v>
      </c>
      <c r="F29" s="48"/>
      <c r="G29" s="48">
        <v>0</v>
      </c>
      <c r="H29" s="48"/>
      <c r="I29" s="48">
        <v>16598.36</v>
      </c>
      <c r="J29" s="48"/>
      <c r="K29" s="48">
        <v>0</v>
      </c>
      <c r="L29" s="48"/>
      <c r="M29" s="48">
        <v>0</v>
      </c>
      <c r="N29" s="48"/>
      <c r="O29" s="48">
        <v>1954.42</v>
      </c>
      <c r="P29" s="48"/>
      <c r="Q29" s="48">
        <v>0</v>
      </c>
      <c r="R29" s="48"/>
      <c r="S29" s="48">
        <v>348.32</v>
      </c>
      <c r="T29" s="48"/>
      <c r="U29" s="48">
        <v>0</v>
      </c>
      <c r="V29" s="48"/>
      <c r="W29" s="48">
        <v>0</v>
      </c>
      <c r="X29" s="48"/>
      <c r="Y29" s="48">
        <v>0</v>
      </c>
      <c r="Z29" s="48"/>
      <c r="AA29" s="48">
        <v>0</v>
      </c>
      <c r="AB29" s="48"/>
      <c r="AC29" s="48">
        <v>0</v>
      </c>
      <c r="AD29" s="48"/>
      <c r="AE29" s="48">
        <v>0</v>
      </c>
      <c r="AF29" s="48"/>
      <c r="AG29" s="48">
        <v>0</v>
      </c>
      <c r="AH29" s="19">
        <f t="shared" si="0"/>
        <v>29897.760000000002</v>
      </c>
      <c r="AI29" s="48">
        <f t="shared" si="1"/>
        <v>29897.760000000002</v>
      </c>
      <c r="AJ29" s="5"/>
      <c r="AK29" s="1"/>
      <c r="AL29" s="1"/>
      <c r="AM29" s="1"/>
    </row>
    <row r="30" spans="1:39" s="67" customFormat="1" ht="12" customHeight="1" x14ac:dyDescent="0.2">
      <c r="A30" s="1" t="s">
        <v>359</v>
      </c>
      <c r="B30" s="1"/>
      <c r="C30" s="1" t="s">
        <v>360</v>
      </c>
      <c r="D30" s="1"/>
      <c r="E30" s="48">
        <v>39055.47</v>
      </c>
      <c r="F30" s="48"/>
      <c r="G30" s="48">
        <v>0</v>
      </c>
      <c r="H30" s="48"/>
      <c r="I30" s="48">
        <v>25225.18</v>
      </c>
      <c r="J30" s="48"/>
      <c r="K30" s="48">
        <v>0</v>
      </c>
      <c r="L30" s="48"/>
      <c r="M30" s="48">
        <v>0</v>
      </c>
      <c r="N30" s="48"/>
      <c r="O30" s="48">
        <v>135</v>
      </c>
      <c r="P30" s="48"/>
      <c r="Q30" s="48">
        <v>1099.04</v>
      </c>
      <c r="R30" s="48"/>
      <c r="S30" s="48">
        <v>3818.31</v>
      </c>
      <c r="T30" s="48"/>
      <c r="U30" s="48">
        <v>0</v>
      </c>
      <c r="V30" s="48"/>
      <c r="W30" s="48">
        <v>0</v>
      </c>
      <c r="X30" s="48"/>
      <c r="Y30" s="48">
        <v>0</v>
      </c>
      <c r="Z30" s="48"/>
      <c r="AA30" s="48">
        <v>0</v>
      </c>
      <c r="AB30" s="48"/>
      <c r="AC30" s="48">
        <v>0</v>
      </c>
      <c r="AD30" s="48"/>
      <c r="AE30" s="48">
        <v>0</v>
      </c>
      <c r="AF30" s="48"/>
      <c r="AG30" s="48">
        <v>0</v>
      </c>
      <c r="AH30" s="19">
        <f t="shared" si="0"/>
        <v>69333</v>
      </c>
      <c r="AI30" s="48">
        <f t="shared" si="1"/>
        <v>69333</v>
      </c>
      <c r="AJ30" s="5"/>
      <c r="AK30" s="87"/>
      <c r="AL30" s="87"/>
      <c r="AM30" s="87"/>
    </row>
    <row r="31" spans="1:39" ht="12" customHeight="1" x14ac:dyDescent="0.2">
      <c r="A31" s="1" t="s">
        <v>307</v>
      </c>
      <c r="C31" s="1" t="s">
        <v>306</v>
      </c>
      <c r="E31" s="48">
        <v>66814</v>
      </c>
      <c r="F31" s="48"/>
      <c r="G31" s="48">
        <v>467165</v>
      </c>
      <c r="H31" s="48"/>
      <c r="I31" s="48">
        <v>139651</v>
      </c>
      <c r="J31" s="48"/>
      <c r="K31" s="48">
        <v>0</v>
      </c>
      <c r="L31" s="48"/>
      <c r="M31" s="48">
        <v>1400</v>
      </c>
      <c r="N31" s="48"/>
      <c r="O31" s="48">
        <v>3570</v>
      </c>
      <c r="P31" s="48"/>
      <c r="Q31" s="48">
        <v>8315</v>
      </c>
      <c r="R31" s="48"/>
      <c r="S31" s="48">
        <v>20062</v>
      </c>
      <c r="T31" s="48"/>
      <c r="U31" s="48">
        <v>0</v>
      </c>
      <c r="V31" s="48"/>
      <c r="W31" s="48">
        <v>0</v>
      </c>
      <c r="X31" s="48"/>
      <c r="Y31" s="48">
        <v>0</v>
      </c>
      <c r="Z31" s="48"/>
      <c r="AA31" s="48">
        <v>67279</v>
      </c>
      <c r="AB31" s="48"/>
      <c r="AC31" s="48">
        <v>0</v>
      </c>
      <c r="AD31" s="48"/>
      <c r="AE31" s="48">
        <v>0</v>
      </c>
      <c r="AF31" s="48"/>
      <c r="AG31" s="48">
        <v>0</v>
      </c>
      <c r="AH31" s="19">
        <f t="shared" si="0"/>
        <v>774256</v>
      </c>
      <c r="AI31" s="48">
        <f t="shared" si="1"/>
        <v>774256</v>
      </c>
      <c r="AJ31" s="5"/>
      <c r="AK31" s="67"/>
      <c r="AL31" s="67"/>
      <c r="AM31" s="67"/>
    </row>
    <row r="32" spans="1:39" ht="12" customHeight="1" x14ac:dyDescent="0.2">
      <c r="A32" s="1" t="s">
        <v>331</v>
      </c>
      <c r="C32" s="1" t="s">
        <v>332</v>
      </c>
      <c r="E32" s="48">
        <v>541130</v>
      </c>
      <c r="F32" s="48"/>
      <c r="G32" s="48">
        <v>3116072</v>
      </c>
      <c r="H32" s="48"/>
      <c r="I32" s="48">
        <v>328136</v>
      </c>
      <c r="J32" s="48"/>
      <c r="K32" s="48">
        <v>0</v>
      </c>
      <c r="L32" s="48"/>
      <c r="M32" s="48">
        <v>571835</v>
      </c>
      <c r="N32" s="48"/>
      <c r="O32" s="48">
        <v>47738</v>
      </c>
      <c r="P32" s="48"/>
      <c r="Q32" s="48">
        <v>3474</v>
      </c>
      <c r="R32" s="48"/>
      <c r="S32" s="48">
        <v>69253</v>
      </c>
      <c r="T32" s="48"/>
      <c r="U32" s="48">
        <v>0</v>
      </c>
      <c r="V32" s="48"/>
      <c r="W32" s="48">
        <v>0</v>
      </c>
      <c r="X32" s="48"/>
      <c r="Y32" s="48">
        <v>0</v>
      </c>
      <c r="Z32" s="48"/>
      <c r="AA32" s="48">
        <v>0</v>
      </c>
      <c r="AB32" s="48"/>
      <c r="AC32" s="48">
        <v>50</v>
      </c>
      <c r="AD32" s="48"/>
      <c r="AE32" s="48">
        <v>325042</v>
      </c>
      <c r="AF32" s="48"/>
      <c r="AG32" s="48">
        <v>0</v>
      </c>
      <c r="AH32" s="19">
        <f t="shared" si="0"/>
        <v>5002730</v>
      </c>
      <c r="AI32" s="48">
        <f t="shared" si="1"/>
        <v>5002730</v>
      </c>
      <c r="AJ32" s="5"/>
      <c r="AK32" s="4"/>
      <c r="AL32" s="4"/>
      <c r="AM32" s="4"/>
    </row>
    <row r="33" spans="1:39" s="67" customFormat="1" ht="12" customHeight="1" x14ac:dyDescent="0.2">
      <c r="A33" s="1" t="s">
        <v>93</v>
      </c>
      <c r="B33" s="1"/>
      <c r="C33" s="1" t="s">
        <v>360</v>
      </c>
      <c r="D33" s="1"/>
      <c r="E33" s="48">
        <v>56544.02</v>
      </c>
      <c r="F33" s="48"/>
      <c r="G33" s="48">
        <v>198381.96</v>
      </c>
      <c r="H33" s="48"/>
      <c r="I33" s="48">
        <v>66288.89</v>
      </c>
      <c r="J33" s="48"/>
      <c r="K33" s="48">
        <v>0</v>
      </c>
      <c r="L33" s="48"/>
      <c r="M33" s="48">
        <v>0</v>
      </c>
      <c r="N33" s="48"/>
      <c r="O33" s="48">
        <v>974.1</v>
      </c>
      <c r="P33" s="48"/>
      <c r="Q33" s="48">
        <v>11058.68</v>
      </c>
      <c r="R33" s="48"/>
      <c r="S33" s="48">
        <v>0</v>
      </c>
      <c r="T33" s="48"/>
      <c r="U33" s="48">
        <v>0</v>
      </c>
      <c r="V33" s="48"/>
      <c r="W33" s="48">
        <v>0</v>
      </c>
      <c r="X33" s="48"/>
      <c r="Y33" s="48">
        <v>0</v>
      </c>
      <c r="Z33" s="48"/>
      <c r="AA33" s="48">
        <v>0</v>
      </c>
      <c r="AB33" s="48"/>
      <c r="AC33" s="48">
        <v>8056.8</v>
      </c>
      <c r="AD33" s="48"/>
      <c r="AE33" s="48">
        <v>7169.09</v>
      </c>
      <c r="AF33" s="48"/>
      <c r="AG33" s="48">
        <v>0</v>
      </c>
      <c r="AH33" s="19">
        <f t="shared" si="0"/>
        <v>348473.54</v>
      </c>
      <c r="AI33" s="48">
        <f t="shared" si="1"/>
        <v>348473.54</v>
      </c>
      <c r="AJ33" s="5"/>
      <c r="AK33" s="87"/>
      <c r="AL33" s="87"/>
      <c r="AM33" s="87"/>
    </row>
    <row r="34" spans="1:39" s="67" customFormat="1" ht="12" customHeight="1" x14ac:dyDescent="0.2">
      <c r="A34" s="1" t="s">
        <v>352</v>
      </c>
      <c r="B34" s="1"/>
      <c r="C34" s="1" t="s">
        <v>351</v>
      </c>
      <c r="D34" s="1"/>
      <c r="E34" s="48">
        <v>536823</v>
      </c>
      <c r="F34" s="48"/>
      <c r="G34" s="48">
        <v>0</v>
      </c>
      <c r="H34" s="48"/>
      <c r="I34" s="48">
        <v>24556</v>
      </c>
      <c r="J34" s="48"/>
      <c r="K34" s="48">
        <v>0</v>
      </c>
      <c r="L34" s="48"/>
      <c r="M34" s="48">
        <v>10316</v>
      </c>
      <c r="N34" s="48"/>
      <c r="O34" s="48">
        <v>266166</v>
      </c>
      <c r="P34" s="48"/>
      <c r="Q34" s="48">
        <v>0</v>
      </c>
      <c r="R34" s="48"/>
      <c r="S34" s="48">
        <v>12903</v>
      </c>
      <c r="T34" s="48"/>
      <c r="U34" s="48">
        <v>0</v>
      </c>
      <c r="V34" s="48"/>
      <c r="W34" s="48">
        <v>0</v>
      </c>
      <c r="X34" s="48"/>
      <c r="Y34" s="48">
        <v>800</v>
      </c>
      <c r="Z34" s="48"/>
      <c r="AA34" s="48">
        <v>0</v>
      </c>
      <c r="AB34" s="48"/>
      <c r="AC34" s="48">
        <v>0</v>
      </c>
      <c r="AD34" s="48"/>
      <c r="AE34" s="48">
        <v>0</v>
      </c>
      <c r="AF34" s="48"/>
      <c r="AG34" s="48">
        <v>0</v>
      </c>
      <c r="AH34" s="19">
        <f t="shared" si="0"/>
        <v>851564</v>
      </c>
      <c r="AI34" s="48">
        <f t="shared" si="1"/>
        <v>851564</v>
      </c>
      <c r="AJ34" s="5"/>
    </row>
    <row r="35" spans="1:39" ht="12" customHeight="1" x14ac:dyDescent="0.2">
      <c r="A35" s="1" t="s">
        <v>792</v>
      </c>
      <c r="C35" s="1" t="s">
        <v>320</v>
      </c>
      <c r="E35" s="48">
        <v>121077.55</v>
      </c>
      <c r="F35" s="48"/>
      <c r="G35" s="48">
        <v>0</v>
      </c>
      <c r="H35" s="48"/>
      <c r="I35" s="48">
        <v>18061.66</v>
      </c>
      <c r="J35" s="48"/>
      <c r="K35" s="48">
        <v>0</v>
      </c>
      <c r="L35" s="48"/>
      <c r="M35" s="48">
        <v>73683.78</v>
      </c>
      <c r="N35" s="48"/>
      <c r="O35" s="48">
        <v>9334.5400000000009</v>
      </c>
      <c r="P35" s="48"/>
      <c r="Q35" s="48">
        <v>143.97999999999999</v>
      </c>
      <c r="R35" s="48"/>
      <c r="S35" s="48">
        <v>2172.98</v>
      </c>
      <c r="T35" s="48"/>
      <c r="U35" s="48">
        <v>0</v>
      </c>
      <c r="V35" s="48"/>
      <c r="W35" s="48">
        <v>0</v>
      </c>
      <c r="X35" s="48"/>
      <c r="Y35" s="48">
        <v>0</v>
      </c>
      <c r="Z35" s="48"/>
      <c r="AA35" s="48">
        <v>0</v>
      </c>
      <c r="AB35" s="48"/>
      <c r="AC35" s="48">
        <v>0</v>
      </c>
      <c r="AD35" s="48"/>
      <c r="AE35" s="48">
        <v>0</v>
      </c>
      <c r="AF35" s="48"/>
      <c r="AG35" s="48">
        <v>0</v>
      </c>
      <c r="AH35" s="19">
        <f t="shared" si="0"/>
        <v>224474.49000000002</v>
      </c>
      <c r="AI35" s="48">
        <f t="shared" si="1"/>
        <v>224474.49000000002</v>
      </c>
      <c r="AJ35" s="5"/>
      <c r="AK35" s="67"/>
      <c r="AL35" s="67"/>
      <c r="AM35" s="67"/>
    </row>
    <row r="36" spans="1:39" s="67" customFormat="1" ht="12" customHeight="1" x14ac:dyDescent="0.2">
      <c r="A36" s="1" t="s">
        <v>719</v>
      </c>
      <c r="B36" s="1"/>
      <c r="C36" s="1" t="s">
        <v>467</v>
      </c>
      <c r="D36" s="1"/>
      <c r="E36" s="48">
        <v>157139.82</v>
      </c>
      <c r="F36" s="48"/>
      <c r="G36" s="48">
        <v>1026542.48</v>
      </c>
      <c r="H36" s="48"/>
      <c r="I36" s="48">
        <v>80578.47</v>
      </c>
      <c r="J36" s="48"/>
      <c r="K36" s="48">
        <v>0</v>
      </c>
      <c r="L36" s="48"/>
      <c r="M36" s="48">
        <v>328629.13</v>
      </c>
      <c r="N36" s="48"/>
      <c r="O36" s="48">
        <v>74078.570000000007</v>
      </c>
      <c r="P36" s="48"/>
      <c r="Q36" s="48">
        <v>2237.1999999999998</v>
      </c>
      <c r="R36" s="48"/>
      <c r="S36" s="48">
        <v>8253.74</v>
      </c>
      <c r="T36" s="48"/>
      <c r="U36" s="48">
        <v>0</v>
      </c>
      <c r="V36" s="48"/>
      <c r="W36" s="48">
        <v>0</v>
      </c>
      <c r="X36" s="48"/>
      <c r="Y36" s="48">
        <v>0</v>
      </c>
      <c r="Z36" s="48"/>
      <c r="AA36" s="48">
        <v>0</v>
      </c>
      <c r="AB36" s="48"/>
      <c r="AC36" s="48">
        <v>0</v>
      </c>
      <c r="AD36" s="48"/>
      <c r="AE36" s="48">
        <v>0</v>
      </c>
      <c r="AF36" s="48"/>
      <c r="AG36" s="48">
        <v>0</v>
      </c>
      <c r="AH36" s="19">
        <f t="shared" si="0"/>
        <v>1677459.41</v>
      </c>
      <c r="AI36" s="48">
        <f t="shared" si="1"/>
        <v>1677459.41</v>
      </c>
      <c r="AJ36" s="5"/>
      <c r="AK36" s="87"/>
      <c r="AL36" s="87"/>
      <c r="AM36" s="87"/>
    </row>
    <row r="37" spans="1:39" s="67" customFormat="1" ht="12" customHeight="1" x14ac:dyDescent="0.2">
      <c r="A37" s="6" t="s">
        <v>760</v>
      </c>
      <c r="B37" s="6"/>
      <c r="C37" s="6" t="s">
        <v>406</v>
      </c>
      <c r="D37" s="6"/>
      <c r="E37" s="48">
        <v>4802</v>
      </c>
      <c r="F37" s="48"/>
      <c r="G37" s="48">
        <v>0</v>
      </c>
      <c r="H37" s="48"/>
      <c r="I37" s="48">
        <v>8299</v>
      </c>
      <c r="J37" s="48"/>
      <c r="K37" s="48">
        <v>0</v>
      </c>
      <c r="L37" s="48"/>
      <c r="M37" s="48">
        <v>0</v>
      </c>
      <c r="N37" s="48"/>
      <c r="O37" s="48">
        <v>1669</v>
      </c>
      <c r="P37" s="48"/>
      <c r="Q37" s="48">
        <v>0</v>
      </c>
      <c r="R37" s="48"/>
      <c r="S37" s="48">
        <v>261</v>
      </c>
      <c r="T37" s="48"/>
      <c r="U37" s="48">
        <v>0</v>
      </c>
      <c r="V37" s="48"/>
      <c r="W37" s="48">
        <v>0</v>
      </c>
      <c r="X37" s="48"/>
      <c r="Y37" s="48">
        <v>0</v>
      </c>
      <c r="Z37" s="48"/>
      <c r="AA37" s="48">
        <v>0</v>
      </c>
      <c r="AB37" s="48"/>
      <c r="AC37" s="48">
        <v>0</v>
      </c>
      <c r="AD37" s="48"/>
      <c r="AE37" s="48">
        <v>0</v>
      </c>
      <c r="AF37" s="48"/>
      <c r="AG37" s="48">
        <v>0</v>
      </c>
      <c r="AH37" s="19">
        <f t="shared" si="0"/>
        <v>15031</v>
      </c>
      <c r="AI37" s="48">
        <f t="shared" si="1"/>
        <v>15031</v>
      </c>
      <c r="AJ37" s="5"/>
      <c r="AK37" s="1"/>
      <c r="AL37" s="1"/>
      <c r="AM37" s="1"/>
    </row>
    <row r="38" spans="1:39" ht="12" customHeight="1" x14ac:dyDescent="0.2">
      <c r="A38" s="1" t="s">
        <v>203</v>
      </c>
      <c r="C38" s="1" t="s">
        <v>494</v>
      </c>
      <c r="E38" s="48">
        <v>37006.879999999997</v>
      </c>
      <c r="F38" s="48"/>
      <c r="G38" s="48">
        <v>0</v>
      </c>
      <c r="H38" s="48"/>
      <c r="I38" s="48">
        <v>32693.5</v>
      </c>
      <c r="J38" s="48"/>
      <c r="K38" s="48">
        <v>0</v>
      </c>
      <c r="L38" s="48"/>
      <c r="M38" s="48">
        <v>0</v>
      </c>
      <c r="N38" s="48"/>
      <c r="O38" s="48">
        <v>50</v>
      </c>
      <c r="P38" s="48"/>
      <c r="Q38" s="48">
        <v>496.1</v>
      </c>
      <c r="R38" s="48"/>
      <c r="S38" s="48">
        <v>5335.1</v>
      </c>
      <c r="T38" s="48"/>
      <c r="U38" s="48">
        <v>0</v>
      </c>
      <c r="V38" s="48"/>
      <c r="W38" s="48">
        <v>0</v>
      </c>
      <c r="X38" s="48"/>
      <c r="Y38" s="48">
        <v>0</v>
      </c>
      <c r="Z38" s="48"/>
      <c r="AA38" s="48">
        <v>0</v>
      </c>
      <c r="AB38" s="48"/>
      <c r="AC38" s="48">
        <v>0</v>
      </c>
      <c r="AD38" s="48"/>
      <c r="AE38" s="48">
        <v>0</v>
      </c>
      <c r="AF38" s="48"/>
      <c r="AG38" s="48">
        <v>0</v>
      </c>
      <c r="AH38" s="19">
        <f t="shared" si="0"/>
        <v>75581.580000000016</v>
      </c>
      <c r="AI38" s="48">
        <f t="shared" si="1"/>
        <v>75581.580000000016</v>
      </c>
      <c r="AJ38" s="5"/>
      <c r="AK38" s="67"/>
      <c r="AL38" s="67"/>
      <c r="AM38" s="67"/>
    </row>
    <row r="39" spans="1:39" ht="12" customHeight="1" x14ac:dyDescent="0.2">
      <c r="A39" s="1" t="s">
        <v>620</v>
      </c>
      <c r="C39" s="1" t="s">
        <v>619</v>
      </c>
      <c r="E39" s="48">
        <v>8953</v>
      </c>
      <c r="F39" s="48"/>
      <c r="G39" s="48">
        <v>0</v>
      </c>
      <c r="H39" s="48"/>
      <c r="I39" s="48">
        <v>22918</v>
      </c>
      <c r="J39" s="48"/>
      <c r="K39" s="48">
        <v>0</v>
      </c>
      <c r="L39" s="48"/>
      <c r="M39" s="48">
        <v>2250</v>
      </c>
      <c r="N39" s="48"/>
      <c r="O39" s="48">
        <v>220</v>
      </c>
      <c r="P39" s="48"/>
      <c r="Q39" s="48">
        <v>9</v>
      </c>
      <c r="R39" s="48"/>
      <c r="S39" s="48">
        <v>5070</v>
      </c>
      <c r="T39" s="48"/>
      <c r="U39" s="48">
        <v>0</v>
      </c>
      <c r="V39" s="48"/>
      <c r="W39" s="48">
        <v>0</v>
      </c>
      <c r="X39" s="48"/>
      <c r="Y39" s="48">
        <v>0</v>
      </c>
      <c r="Z39" s="48"/>
      <c r="AA39" s="48">
        <v>0</v>
      </c>
      <c r="AB39" s="48"/>
      <c r="AC39" s="48">
        <v>0</v>
      </c>
      <c r="AD39" s="48"/>
      <c r="AE39" s="48">
        <v>0</v>
      </c>
      <c r="AF39" s="48"/>
      <c r="AG39" s="48">
        <v>0</v>
      </c>
      <c r="AH39" s="19">
        <f t="shared" si="0"/>
        <v>39420</v>
      </c>
      <c r="AI39" s="48">
        <f t="shared" si="1"/>
        <v>39420</v>
      </c>
      <c r="AJ39" s="5"/>
      <c r="AK39" s="4"/>
      <c r="AL39" s="4"/>
      <c r="AM39" s="4"/>
    </row>
    <row r="40" spans="1:39" s="67" customFormat="1" ht="12" customHeight="1" x14ac:dyDescent="0.2">
      <c r="A40" s="1" t="s">
        <v>720</v>
      </c>
      <c r="B40" s="1"/>
      <c r="C40" s="1" t="s">
        <v>485</v>
      </c>
      <c r="D40" s="1"/>
      <c r="E40" s="48">
        <v>42892.26</v>
      </c>
      <c r="F40" s="48"/>
      <c r="G40" s="48">
        <v>0</v>
      </c>
      <c r="H40" s="48"/>
      <c r="I40" s="48">
        <v>31821.01</v>
      </c>
      <c r="J40" s="48"/>
      <c r="K40" s="48">
        <v>0</v>
      </c>
      <c r="L40" s="48"/>
      <c r="M40" s="48">
        <v>16150</v>
      </c>
      <c r="N40" s="48"/>
      <c r="O40" s="48">
        <v>0</v>
      </c>
      <c r="P40" s="48"/>
      <c r="Q40" s="48">
        <v>436</v>
      </c>
      <c r="R40" s="48"/>
      <c r="S40" s="48">
        <v>1692.98</v>
      </c>
      <c r="T40" s="48"/>
      <c r="U40" s="48">
        <v>0</v>
      </c>
      <c r="V40" s="48"/>
      <c r="W40" s="48">
        <v>0</v>
      </c>
      <c r="X40" s="48"/>
      <c r="Y40" s="48">
        <v>0</v>
      </c>
      <c r="Z40" s="48"/>
      <c r="AA40" s="48">
        <v>0</v>
      </c>
      <c r="AB40" s="48"/>
      <c r="AC40" s="48">
        <v>0</v>
      </c>
      <c r="AD40" s="48"/>
      <c r="AE40" s="48">
        <v>0</v>
      </c>
      <c r="AF40" s="48"/>
      <c r="AG40" s="48">
        <v>0</v>
      </c>
      <c r="AH40" s="19">
        <f t="shared" si="0"/>
        <v>92992.25</v>
      </c>
      <c r="AI40" s="48">
        <f t="shared" si="1"/>
        <v>92992.25</v>
      </c>
      <c r="AJ40" s="5"/>
      <c r="AK40" s="4"/>
      <c r="AL40" s="4"/>
      <c r="AM40" s="4"/>
    </row>
    <row r="41" spans="1:39" s="66" customFormat="1" ht="12" customHeight="1" x14ac:dyDescent="0.2">
      <c r="A41" s="1" t="s">
        <v>520</v>
      </c>
      <c r="B41" s="1"/>
      <c r="C41" s="1" t="s">
        <v>521</v>
      </c>
      <c r="D41" s="1"/>
      <c r="E41" s="48">
        <v>48358</v>
      </c>
      <c r="F41" s="48"/>
      <c r="G41" s="48">
        <v>87176</v>
      </c>
      <c r="H41" s="48"/>
      <c r="I41" s="48">
        <v>101756</v>
      </c>
      <c r="J41" s="48"/>
      <c r="K41" s="48">
        <v>0</v>
      </c>
      <c r="L41" s="48"/>
      <c r="M41" s="48">
        <v>8797</v>
      </c>
      <c r="N41" s="48"/>
      <c r="O41" s="48">
        <v>197</v>
      </c>
      <c r="P41" s="48"/>
      <c r="Q41" s="48">
        <v>556</v>
      </c>
      <c r="R41" s="48"/>
      <c r="S41" s="48">
        <v>4320</v>
      </c>
      <c r="T41" s="48"/>
      <c r="U41" s="48">
        <v>0</v>
      </c>
      <c r="V41" s="48"/>
      <c r="W41" s="48">
        <v>0</v>
      </c>
      <c r="X41" s="48"/>
      <c r="Y41" s="48">
        <v>0</v>
      </c>
      <c r="Z41" s="48"/>
      <c r="AA41" s="48">
        <v>0</v>
      </c>
      <c r="AB41" s="48"/>
      <c r="AC41" s="48">
        <v>0</v>
      </c>
      <c r="AD41" s="48"/>
      <c r="AE41" s="48">
        <v>5524</v>
      </c>
      <c r="AF41" s="48"/>
      <c r="AG41" s="48">
        <v>0</v>
      </c>
      <c r="AH41" s="19">
        <f t="shared" si="0"/>
        <v>256684</v>
      </c>
      <c r="AI41" s="48">
        <f t="shared" si="1"/>
        <v>256684</v>
      </c>
      <c r="AJ41" s="5"/>
      <c r="AK41" s="67"/>
      <c r="AL41" s="67"/>
      <c r="AM41" s="67"/>
    </row>
    <row r="42" spans="1:39" s="67" customFormat="1" ht="12" customHeight="1" x14ac:dyDescent="0.2">
      <c r="A42" s="1" t="s">
        <v>326</v>
      </c>
      <c r="B42" s="1"/>
      <c r="C42" s="1" t="s">
        <v>327</v>
      </c>
      <c r="D42" s="1"/>
      <c r="E42" s="48">
        <v>82847</v>
      </c>
      <c r="F42" s="48"/>
      <c r="G42" s="48">
        <v>365321</v>
      </c>
      <c r="H42" s="48"/>
      <c r="I42" s="48">
        <v>78548</v>
      </c>
      <c r="J42" s="48"/>
      <c r="K42" s="48">
        <v>0</v>
      </c>
      <c r="L42" s="48"/>
      <c r="M42" s="48">
        <v>40640</v>
      </c>
      <c r="N42" s="48"/>
      <c r="O42" s="48">
        <v>49236</v>
      </c>
      <c r="P42" s="48"/>
      <c r="Q42" s="48">
        <v>555</v>
      </c>
      <c r="R42" s="48"/>
      <c r="S42" s="48">
        <v>9438</v>
      </c>
      <c r="T42" s="48"/>
      <c r="U42" s="48">
        <v>0</v>
      </c>
      <c r="V42" s="48"/>
      <c r="W42" s="48">
        <v>0</v>
      </c>
      <c r="X42" s="48"/>
      <c r="Y42" s="48">
        <v>0</v>
      </c>
      <c r="Z42" s="48"/>
      <c r="AA42" s="48">
        <v>0</v>
      </c>
      <c r="AB42" s="48"/>
      <c r="AC42" s="48">
        <v>0</v>
      </c>
      <c r="AD42" s="48"/>
      <c r="AE42" s="48">
        <v>0</v>
      </c>
      <c r="AF42" s="48"/>
      <c r="AG42" s="48">
        <v>0</v>
      </c>
      <c r="AH42" s="19">
        <f t="shared" si="0"/>
        <v>626585</v>
      </c>
      <c r="AI42" s="48">
        <f t="shared" si="1"/>
        <v>626585</v>
      </c>
      <c r="AJ42" s="5"/>
    </row>
    <row r="43" spans="1:39" s="67" customFormat="1" ht="12" customHeight="1" x14ac:dyDescent="0.2">
      <c r="A43" s="1" t="s">
        <v>260</v>
      </c>
      <c r="B43" s="1"/>
      <c r="C43" s="1" t="s">
        <v>261</v>
      </c>
      <c r="D43" s="1"/>
      <c r="E43" s="48">
        <v>134774</v>
      </c>
      <c r="F43" s="48"/>
      <c r="G43" s="48">
        <v>0</v>
      </c>
      <c r="H43" s="48"/>
      <c r="I43" s="48">
        <v>188519</v>
      </c>
      <c r="J43" s="48"/>
      <c r="K43" s="48">
        <v>0</v>
      </c>
      <c r="L43" s="48"/>
      <c r="M43" s="48">
        <v>0</v>
      </c>
      <c r="N43" s="48"/>
      <c r="O43" s="48">
        <v>68599</v>
      </c>
      <c r="P43" s="48"/>
      <c r="Q43" s="48">
        <v>103935</v>
      </c>
      <c r="R43" s="48"/>
      <c r="S43" s="48">
        <v>50828</v>
      </c>
      <c r="T43" s="48"/>
      <c r="U43" s="48">
        <v>0</v>
      </c>
      <c r="V43" s="48"/>
      <c r="W43" s="48">
        <v>0</v>
      </c>
      <c r="X43" s="48"/>
      <c r="Y43" s="48">
        <v>0</v>
      </c>
      <c r="Z43" s="48"/>
      <c r="AA43" s="48">
        <v>0</v>
      </c>
      <c r="AB43" s="48"/>
      <c r="AC43" s="48">
        <v>0</v>
      </c>
      <c r="AD43" s="48"/>
      <c r="AE43" s="48">
        <v>1572241</v>
      </c>
      <c r="AF43" s="48"/>
      <c r="AG43" s="48">
        <v>0</v>
      </c>
      <c r="AH43" s="19">
        <f t="shared" si="0"/>
        <v>2118896</v>
      </c>
      <c r="AI43" s="48">
        <f t="shared" si="1"/>
        <v>2118896</v>
      </c>
      <c r="AJ43" s="5"/>
    </row>
    <row r="44" spans="1:39" ht="12" customHeight="1" x14ac:dyDescent="0.2">
      <c r="A44" s="1" t="s">
        <v>522</v>
      </c>
      <c r="C44" s="1" t="s">
        <v>521</v>
      </c>
      <c r="E44" s="48">
        <v>17149.91</v>
      </c>
      <c r="F44" s="48"/>
      <c r="G44" s="48">
        <v>0</v>
      </c>
      <c r="H44" s="48"/>
      <c r="I44" s="48">
        <v>6857.29</v>
      </c>
      <c r="J44" s="48"/>
      <c r="K44" s="48">
        <v>0</v>
      </c>
      <c r="L44" s="48"/>
      <c r="M44" s="48">
        <v>0</v>
      </c>
      <c r="N44" s="48"/>
      <c r="O44" s="48">
        <v>0</v>
      </c>
      <c r="P44" s="48"/>
      <c r="Q44" s="48">
        <v>4.04</v>
      </c>
      <c r="R44" s="48"/>
      <c r="S44" s="48">
        <v>376.09</v>
      </c>
      <c r="T44" s="48"/>
      <c r="U44" s="48">
        <v>0</v>
      </c>
      <c r="V44" s="48"/>
      <c r="W44" s="48">
        <v>0</v>
      </c>
      <c r="X44" s="48"/>
      <c r="Y44" s="48">
        <v>670</v>
      </c>
      <c r="Z44" s="48"/>
      <c r="AA44" s="48">
        <v>0</v>
      </c>
      <c r="AB44" s="48"/>
      <c r="AC44" s="48">
        <v>0</v>
      </c>
      <c r="AD44" s="48"/>
      <c r="AE44" s="48">
        <v>0</v>
      </c>
      <c r="AF44" s="48"/>
      <c r="AG44" s="48">
        <v>0</v>
      </c>
      <c r="AH44" s="19">
        <f t="shared" si="0"/>
        <v>25057.33</v>
      </c>
      <c r="AI44" s="48">
        <f t="shared" si="1"/>
        <v>25057.33</v>
      </c>
      <c r="AJ44" s="5"/>
      <c r="AK44" s="87"/>
      <c r="AL44" s="87"/>
      <c r="AM44" s="87"/>
    </row>
    <row r="45" spans="1:39" s="67" customFormat="1" ht="12" customHeight="1" x14ac:dyDescent="0.2">
      <c r="A45" s="1" t="s">
        <v>276</v>
      </c>
      <c r="B45" s="1"/>
      <c r="C45" s="1" t="s">
        <v>277</v>
      </c>
      <c r="D45" s="1"/>
      <c r="E45" s="48">
        <v>59234.04</v>
      </c>
      <c r="F45" s="48"/>
      <c r="G45" s="48">
        <v>1269099.56</v>
      </c>
      <c r="H45" s="48"/>
      <c r="I45" s="48">
        <v>176809.47</v>
      </c>
      <c r="J45" s="48"/>
      <c r="K45" s="48">
        <v>0</v>
      </c>
      <c r="L45" s="48"/>
      <c r="M45" s="48">
        <v>162</v>
      </c>
      <c r="N45" s="48"/>
      <c r="O45" s="48">
        <v>19687.8</v>
      </c>
      <c r="P45" s="48"/>
      <c r="Q45" s="48">
        <v>293.93</v>
      </c>
      <c r="R45" s="48"/>
      <c r="S45" s="48">
        <v>0</v>
      </c>
      <c r="T45" s="48"/>
      <c r="U45" s="48">
        <v>0</v>
      </c>
      <c r="V45" s="48"/>
      <c r="W45" s="48">
        <v>0</v>
      </c>
      <c r="X45" s="48"/>
      <c r="Y45" s="48">
        <v>0</v>
      </c>
      <c r="Z45" s="48"/>
      <c r="AA45" s="48">
        <v>0</v>
      </c>
      <c r="AB45" s="48"/>
      <c r="AC45" s="48">
        <v>0</v>
      </c>
      <c r="AD45" s="48"/>
      <c r="AE45" s="48">
        <v>5290.05</v>
      </c>
      <c r="AF45" s="48"/>
      <c r="AG45" s="48">
        <v>0</v>
      </c>
      <c r="AH45" s="19">
        <f t="shared" si="0"/>
        <v>1530576.85</v>
      </c>
      <c r="AI45" s="48">
        <f t="shared" si="1"/>
        <v>1530576.85</v>
      </c>
      <c r="AJ45" s="5"/>
    </row>
    <row r="46" spans="1:39" ht="12" customHeight="1" x14ac:dyDescent="0.2">
      <c r="A46" s="1" t="s">
        <v>454</v>
      </c>
      <c r="C46" s="1" t="s">
        <v>455</v>
      </c>
      <c r="E46" s="48">
        <v>12752</v>
      </c>
      <c r="F46" s="48"/>
      <c r="G46" s="48">
        <v>0</v>
      </c>
      <c r="H46" s="48"/>
      <c r="I46" s="48">
        <v>0</v>
      </c>
      <c r="J46" s="48"/>
      <c r="K46" s="48">
        <v>0</v>
      </c>
      <c r="L46" s="48"/>
      <c r="M46" s="48">
        <v>0</v>
      </c>
      <c r="N46" s="48"/>
      <c r="O46" s="48">
        <v>207</v>
      </c>
      <c r="P46" s="48"/>
      <c r="Q46" s="48">
        <v>0</v>
      </c>
      <c r="R46" s="48"/>
      <c r="S46" s="48">
        <v>3047</v>
      </c>
      <c r="T46" s="48"/>
      <c r="U46" s="48">
        <v>0</v>
      </c>
      <c r="V46" s="48"/>
      <c r="W46" s="48">
        <v>0</v>
      </c>
      <c r="X46" s="48"/>
      <c r="Y46" s="48">
        <v>0</v>
      </c>
      <c r="Z46" s="48"/>
      <c r="AA46" s="48">
        <v>0</v>
      </c>
      <c r="AB46" s="48"/>
      <c r="AC46" s="48">
        <v>0</v>
      </c>
      <c r="AD46" s="48"/>
      <c r="AE46" s="48">
        <v>0</v>
      </c>
      <c r="AF46" s="48"/>
      <c r="AG46" s="48">
        <v>0</v>
      </c>
      <c r="AH46" s="19">
        <f t="shared" si="0"/>
        <v>16006</v>
      </c>
      <c r="AI46" s="48">
        <f t="shared" si="1"/>
        <v>16006</v>
      </c>
      <c r="AJ46" s="5"/>
    </row>
    <row r="47" spans="1:39" s="67" customFormat="1" ht="12" customHeight="1" x14ac:dyDescent="0.2">
      <c r="A47" s="1" t="s">
        <v>53</v>
      </c>
      <c r="B47" s="1"/>
      <c r="C47" s="1" t="s">
        <v>325</v>
      </c>
      <c r="D47" s="1"/>
      <c r="E47" s="48">
        <v>68818.53</v>
      </c>
      <c r="F47" s="48"/>
      <c r="G47" s="48">
        <v>0</v>
      </c>
      <c r="H47" s="48"/>
      <c r="I47" s="48">
        <v>45677.63</v>
      </c>
      <c r="J47" s="48"/>
      <c r="K47" s="48">
        <v>44.88</v>
      </c>
      <c r="L47" s="48"/>
      <c r="M47" s="48">
        <v>0</v>
      </c>
      <c r="N47" s="48"/>
      <c r="O47" s="48">
        <v>24668.12</v>
      </c>
      <c r="P47" s="48"/>
      <c r="Q47" s="48">
        <v>59.69</v>
      </c>
      <c r="R47" s="48"/>
      <c r="S47" s="48">
        <v>18130.36</v>
      </c>
      <c r="T47" s="48"/>
      <c r="U47" s="48">
        <v>0</v>
      </c>
      <c r="V47" s="48"/>
      <c r="W47" s="48">
        <v>0</v>
      </c>
      <c r="X47" s="48"/>
      <c r="Y47" s="48">
        <v>0</v>
      </c>
      <c r="Z47" s="48"/>
      <c r="AA47" s="48">
        <v>0</v>
      </c>
      <c r="AB47" s="48"/>
      <c r="AC47" s="48">
        <v>0</v>
      </c>
      <c r="AD47" s="48"/>
      <c r="AE47" s="48">
        <v>0</v>
      </c>
      <c r="AF47" s="48"/>
      <c r="AG47" s="48">
        <v>0</v>
      </c>
      <c r="AH47" s="19">
        <f t="shared" si="0"/>
        <v>157399.21000000002</v>
      </c>
      <c r="AI47" s="48">
        <f t="shared" si="1"/>
        <v>157399.21000000002</v>
      </c>
      <c r="AJ47" s="5"/>
      <c r="AK47" s="1"/>
      <c r="AL47" s="1"/>
      <c r="AM47" s="1"/>
    </row>
    <row r="48" spans="1:39" ht="12" customHeight="1" x14ac:dyDescent="0.2">
      <c r="A48" s="1" t="s">
        <v>501</v>
      </c>
      <c r="C48" s="1" t="s">
        <v>502</v>
      </c>
      <c r="E48" s="48">
        <v>63521</v>
      </c>
      <c r="F48" s="48"/>
      <c r="G48" s="48">
        <v>62464</v>
      </c>
      <c r="H48" s="48"/>
      <c r="I48" s="48">
        <v>24285</v>
      </c>
      <c r="J48" s="48"/>
      <c r="K48" s="48">
        <v>0</v>
      </c>
      <c r="L48" s="48"/>
      <c r="M48" s="48">
        <v>29</v>
      </c>
      <c r="N48" s="48"/>
      <c r="O48" s="48">
        <v>804</v>
      </c>
      <c r="P48" s="48"/>
      <c r="Q48" s="48">
        <v>2427</v>
      </c>
      <c r="R48" s="48"/>
      <c r="S48" s="48">
        <v>24813</v>
      </c>
      <c r="T48" s="48"/>
      <c r="U48" s="48">
        <v>0</v>
      </c>
      <c r="V48" s="48"/>
      <c r="W48" s="48">
        <v>0</v>
      </c>
      <c r="X48" s="48"/>
      <c r="Y48" s="48">
        <v>0</v>
      </c>
      <c r="Z48" s="48"/>
      <c r="AA48" s="48">
        <v>0</v>
      </c>
      <c r="AB48" s="48"/>
      <c r="AC48" s="48">
        <v>0</v>
      </c>
      <c r="AD48" s="48"/>
      <c r="AE48" s="48">
        <v>0</v>
      </c>
      <c r="AF48" s="48"/>
      <c r="AG48" s="48">
        <v>0</v>
      </c>
      <c r="AH48" s="19">
        <f t="shared" si="0"/>
        <v>178343</v>
      </c>
      <c r="AI48" s="48">
        <f t="shared" si="1"/>
        <v>178343</v>
      </c>
      <c r="AJ48" s="5"/>
      <c r="AK48" s="67"/>
      <c r="AL48" s="67"/>
      <c r="AM48" s="67"/>
    </row>
    <row r="49" spans="1:39" s="67" customFormat="1" ht="12" customHeight="1" x14ac:dyDescent="0.2">
      <c r="A49" s="1" t="s">
        <v>151</v>
      </c>
      <c r="B49" s="1"/>
      <c r="C49" s="1" t="s">
        <v>441</v>
      </c>
      <c r="D49" s="1"/>
      <c r="E49" s="48">
        <v>14718.06</v>
      </c>
      <c r="F49" s="48"/>
      <c r="G49" s="48">
        <v>0</v>
      </c>
      <c r="H49" s="48"/>
      <c r="I49" s="48">
        <v>11918.21</v>
      </c>
      <c r="J49" s="48"/>
      <c r="K49" s="48">
        <v>0</v>
      </c>
      <c r="L49" s="48"/>
      <c r="M49" s="48">
        <v>0</v>
      </c>
      <c r="N49" s="48"/>
      <c r="O49" s="48">
        <v>0</v>
      </c>
      <c r="P49" s="48"/>
      <c r="Q49" s="48">
        <v>275.45</v>
      </c>
      <c r="R49" s="48"/>
      <c r="S49" s="48">
        <v>2718.64</v>
      </c>
      <c r="T49" s="48"/>
      <c r="U49" s="48">
        <v>0</v>
      </c>
      <c r="V49" s="48"/>
      <c r="W49" s="48">
        <v>0</v>
      </c>
      <c r="X49" s="48"/>
      <c r="Y49" s="48">
        <v>0</v>
      </c>
      <c r="Z49" s="48"/>
      <c r="AA49" s="48">
        <v>0</v>
      </c>
      <c r="AB49" s="48"/>
      <c r="AC49" s="48">
        <v>0</v>
      </c>
      <c r="AD49" s="48"/>
      <c r="AE49" s="48">
        <v>0</v>
      </c>
      <c r="AF49" s="48"/>
      <c r="AG49" s="48">
        <v>0</v>
      </c>
      <c r="AH49" s="19">
        <f t="shared" ref="AH49:AH88" si="2">SUM(D49:AF49)</f>
        <v>29630.359999999997</v>
      </c>
      <c r="AI49" s="48">
        <f t="shared" si="1"/>
        <v>29630.359999999997</v>
      </c>
      <c r="AJ49" s="5"/>
      <c r="AK49" s="87"/>
      <c r="AL49" s="87"/>
      <c r="AM49" s="87"/>
    </row>
    <row r="50" spans="1:39" s="67" customFormat="1" ht="12" customHeight="1" x14ac:dyDescent="0.2">
      <c r="A50" s="1" t="s">
        <v>178</v>
      </c>
      <c r="B50" s="1"/>
      <c r="C50" s="1" t="s">
        <v>469</v>
      </c>
      <c r="D50" s="1"/>
      <c r="E50" s="48">
        <v>8999.86</v>
      </c>
      <c r="F50" s="48"/>
      <c r="G50" s="48">
        <v>0</v>
      </c>
      <c r="H50" s="48"/>
      <c r="I50" s="48">
        <v>52095.94</v>
      </c>
      <c r="J50" s="48"/>
      <c r="K50" s="48">
        <v>0</v>
      </c>
      <c r="L50" s="48"/>
      <c r="M50" s="48">
        <v>0</v>
      </c>
      <c r="N50" s="48"/>
      <c r="O50" s="48">
        <v>3311.06</v>
      </c>
      <c r="P50" s="48"/>
      <c r="Q50" s="48">
        <v>122.93</v>
      </c>
      <c r="R50" s="48"/>
      <c r="S50" s="48">
        <v>1226.77</v>
      </c>
      <c r="T50" s="48"/>
      <c r="U50" s="48">
        <v>0</v>
      </c>
      <c r="V50" s="48"/>
      <c r="W50" s="48">
        <v>0</v>
      </c>
      <c r="X50" s="48"/>
      <c r="Y50" s="48">
        <v>0</v>
      </c>
      <c r="Z50" s="48"/>
      <c r="AA50" s="48">
        <v>0</v>
      </c>
      <c r="AB50" s="48"/>
      <c r="AC50" s="48">
        <v>0</v>
      </c>
      <c r="AD50" s="48"/>
      <c r="AE50" s="48">
        <v>0</v>
      </c>
      <c r="AF50" s="48"/>
      <c r="AG50" s="48">
        <v>0</v>
      </c>
      <c r="AH50" s="19">
        <f t="shared" si="2"/>
        <v>65756.56</v>
      </c>
      <c r="AI50" s="48">
        <f t="shared" ref="AI50:AI88" si="3">SUM(E50:AG50)</f>
        <v>65756.56</v>
      </c>
      <c r="AJ50" s="5"/>
      <c r="AK50" s="1"/>
      <c r="AL50" s="1"/>
      <c r="AM50" s="1"/>
    </row>
    <row r="51" spans="1:39" ht="12" customHeight="1" x14ac:dyDescent="0.2">
      <c r="A51" s="1" t="s">
        <v>2</v>
      </c>
      <c r="C51" s="1" t="s">
        <v>651</v>
      </c>
      <c r="E51" s="48">
        <v>23173.68</v>
      </c>
      <c r="F51" s="48"/>
      <c r="G51" s="48">
        <v>228959.1</v>
      </c>
      <c r="H51" s="48"/>
      <c r="I51" s="48">
        <v>10537.59</v>
      </c>
      <c r="J51" s="48"/>
      <c r="K51" s="48">
        <v>0</v>
      </c>
      <c r="L51" s="48"/>
      <c r="M51" s="48">
        <v>280</v>
      </c>
      <c r="N51" s="48"/>
      <c r="O51" s="48">
        <v>6016.85</v>
      </c>
      <c r="P51" s="48"/>
      <c r="Q51" s="48">
        <v>1298.3399999999999</v>
      </c>
      <c r="R51" s="48"/>
      <c r="S51" s="48">
        <v>6759.01</v>
      </c>
      <c r="T51" s="48"/>
      <c r="U51" s="48">
        <v>0</v>
      </c>
      <c r="V51" s="48"/>
      <c r="W51" s="48">
        <v>0</v>
      </c>
      <c r="X51" s="48"/>
      <c r="Y51" s="48">
        <v>0</v>
      </c>
      <c r="Z51" s="48"/>
      <c r="AA51" s="48">
        <v>0</v>
      </c>
      <c r="AB51" s="48"/>
      <c r="AC51" s="48">
        <v>0</v>
      </c>
      <c r="AD51" s="48"/>
      <c r="AE51" s="48">
        <v>190</v>
      </c>
      <c r="AF51" s="48"/>
      <c r="AG51" s="48">
        <v>0</v>
      </c>
      <c r="AH51" s="19">
        <f t="shared" si="2"/>
        <v>277214.57</v>
      </c>
      <c r="AI51" s="48">
        <f t="shared" si="3"/>
        <v>277214.57</v>
      </c>
      <c r="AJ51" s="5"/>
      <c r="AK51" s="67"/>
      <c r="AL51" s="67"/>
      <c r="AM51" s="67"/>
    </row>
    <row r="52" spans="1:39" s="6" customFormat="1" ht="12" customHeight="1" x14ac:dyDescent="0.2">
      <c r="A52" s="1" t="s">
        <v>262</v>
      </c>
      <c r="B52" s="1"/>
      <c r="C52" s="1" t="s">
        <v>261</v>
      </c>
      <c r="D52" s="1"/>
      <c r="E52" s="48">
        <v>79620</v>
      </c>
      <c r="F52" s="48"/>
      <c r="G52" s="48">
        <v>768390</v>
      </c>
      <c r="H52" s="48"/>
      <c r="I52" s="48">
        <v>149196</v>
      </c>
      <c r="J52" s="48"/>
      <c r="K52" s="48">
        <v>0</v>
      </c>
      <c r="L52" s="48"/>
      <c r="M52" s="48">
        <v>164216</v>
      </c>
      <c r="N52" s="48"/>
      <c r="O52" s="48">
        <v>59065</v>
      </c>
      <c r="P52" s="48"/>
      <c r="Q52" s="48">
        <v>8828</v>
      </c>
      <c r="R52" s="48"/>
      <c r="S52" s="48">
        <f>23458+25709</f>
        <v>49167</v>
      </c>
      <c r="T52" s="48"/>
      <c r="U52" s="48">
        <v>0</v>
      </c>
      <c r="V52" s="48"/>
      <c r="W52" s="48">
        <v>0</v>
      </c>
      <c r="X52" s="48"/>
      <c r="Y52" s="48">
        <v>5400</v>
      </c>
      <c r="Z52" s="48"/>
      <c r="AA52" s="48">
        <v>0</v>
      </c>
      <c r="AB52" s="48"/>
      <c r="AC52" s="48">
        <v>0</v>
      </c>
      <c r="AD52" s="48"/>
      <c r="AE52" s="48">
        <v>0</v>
      </c>
      <c r="AF52" s="48"/>
      <c r="AG52" s="48">
        <v>0</v>
      </c>
      <c r="AH52" s="19">
        <f t="shared" si="2"/>
        <v>1283882</v>
      </c>
      <c r="AI52" s="48">
        <f t="shared" si="3"/>
        <v>1283882</v>
      </c>
      <c r="AJ52" s="5"/>
      <c r="AK52" s="67"/>
      <c r="AL52" s="67"/>
      <c r="AM52" s="67"/>
    </row>
    <row r="53" spans="1:39" s="6" customFormat="1" ht="12" customHeight="1" x14ac:dyDescent="0.2">
      <c r="A53" s="1" t="s">
        <v>123</v>
      </c>
      <c r="B53" s="1"/>
      <c r="C53" s="1" t="s">
        <v>414</v>
      </c>
      <c r="D53" s="1"/>
      <c r="E53" s="48">
        <v>45647.82</v>
      </c>
      <c r="F53" s="48"/>
      <c r="G53" s="48">
        <v>93309.88</v>
      </c>
      <c r="H53" s="48"/>
      <c r="I53" s="48">
        <v>4766.13</v>
      </c>
      <c r="J53" s="48"/>
      <c r="K53" s="48">
        <v>0</v>
      </c>
      <c r="L53" s="48"/>
      <c r="M53" s="48">
        <v>0</v>
      </c>
      <c r="N53" s="48"/>
      <c r="O53" s="48">
        <v>7394.67</v>
      </c>
      <c r="P53" s="48"/>
      <c r="Q53" s="48">
        <v>1599.72</v>
      </c>
      <c r="R53" s="48"/>
      <c r="S53" s="48">
        <v>7405.61</v>
      </c>
      <c r="T53" s="48"/>
      <c r="U53" s="48">
        <v>0</v>
      </c>
      <c r="V53" s="48"/>
      <c r="W53" s="48">
        <v>0</v>
      </c>
      <c r="X53" s="48"/>
      <c r="Y53" s="48">
        <v>0</v>
      </c>
      <c r="Z53" s="48"/>
      <c r="AA53" s="48">
        <v>0</v>
      </c>
      <c r="AB53" s="48"/>
      <c r="AC53" s="48">
        <v>0</v>
      </c>
      <c r="AD53" s="48"/>
      <c r="AE53" s="48">
        <v>32662.74</v>
      </c>
      <c r="AF53" s="48"/>
      <c r="AG53" s="48">
        <v>0</v>
      </c>
      <c r="AH53" s="19">
        <f t="shared" si="2"/>
        <v>192786.57</v>
      </c>
      <c r="AI53" s="48">
        <f t="shared" si="3"/>
        <v>192786.57</v>
      </c>
      <c r="AJ53" s="5"/>
      <c r="AK53" s="67"/>
      <c r="AL53" s="67"/>
      <c r="AM53" s="67"/>
    </row>
    <row r="54" spans="1:39" s="6" customFormat="1" ht="12" customHeight="1" x14ac:dyDescent="0.2">
      <c r="A54" s="1" t="s">
        <v>456</v>
      </c>
      <c r="B54" s="1"/>
      <c r="C54" s="1" t="s">
        <v>455</v>
      </c>
      <c r="D54" s="1"/>
      <c r="E54" s="48">
        <v>10048.709999999999</v>
      </c>
      <c r="F54" s="48"/>
      <c r="G54" s="48">
        <v>0</v>
      </c>
      <c r="H54" s="48"/>
      <c r="I54" s="48">
        <v>16273.54</v>
      </c>
      <c r="J54" s="48"/>
      <c r="K54" s="48">
        <v>0</v>
      </c>
      <c r="L54" s="48"/>
      <c r="M54" s="48">
        <v>1077.33</v>
      </c>
      <c r="N54" s="48"/>
      <c r="O54" s="48">
        <v>0</v>
      </c>
      <c r="P54" s="48"/>
      <c r="Q54" s="48">
        <v>14.93</v>
      </c>
      <c r="R54" s="48"/>
      <c r="S54" s="48">
        <v>0</v>
      </c>
      <c r="T54" s="48"/>
      <c r="U54" s="48">
        <v>0</v>
      </c>
      <c r="V54" s="48"/>
      <c r="W54" s="48">
        <v>0</v>
      </c>
      <c r="X54" s="48"/>
      <c r="Y54" s="48">
        <v>0</v>
      </c>
      <c r="Z54" s="48"/>
      <c r="AA54" s="48">
        <v>0</v>
      </c>
      <c r="AB54" s="48"/>
      <c r="AC54" s="48">
        <v>0</v>
      </c>
      <c r="AD54" s="48"/>
      <c r="AE54" s="48">
        <v>0</v>
      </c>
      <c r="AF54" s="48"/>
      <c r="AG54" s="48">
        <v>0</v>
      </c>
      <c r="AH54" s="19">
        <f t="shared" si="2"/>
        <v>27414.510000000002</v>
      </c>
      <c r="AI54" s="48">
        <f t="shared" si="3"/>
        <v>27414.510000000002</v>
      </c>
      <c r="AJ54" s="5"/>
      <c r="AK54" s="67"/>
      <c r="AL54" s="67"/>
      <c r="AM54" s="67"/>
    </row>
    <row r="55" spans="1:39" ht="12" customHeight="1" x14ac:dyDescent="0.2">
      <c r="A55" s="1" t="s">
        <v>193</v>
      </c>
      <c r="C55" s="1" t="s">
        <v>481</v>
      </c>
      <c r="E55" s="48">
        <v>243532.01</v>
      </c>
      <c r="F55" s="48"/>
      <c r="G55" s="48">
        <v>0</v>
      </c>
      <c r="H55" s="48"/>
      <c r="I55" s="48">
        <v>64191.05</v>
      </c>
      <c r="J55" s="48"/>
      <c r="K55" s="48">
        <v>0</v>
      </c>
      <c r="L55" s="48"/>
      <c r="M55" s="48">
        <v>2725</v>
      </c>
      <c r="N55" s="48"/>
      <c r="O55" s="48">
        <v>53668.07</v>
      </c>
      <c r="P55" s="48"/>
      <c r="Q55" s="48">
        <v>181.48</v>
      </c>
      <c r="R55" s="48"/>
      <c r="S55" s="48">
        <v>64466.81</v>
      </c>
      <c r="T55" s="48"/>
      <c r="U55" s="48">
        <v>0</v>
      </c>
      <c r="V55" s="48"/>
      <c r="W55" s="48">
        <v>0</v>
      </c>
      <c r="X55" s="48"/>
      <c r="Y55" s="48">
        <v>0</v>
      </c>
      <c r="Z55" s="48"/>
      <c r="AA55" s="48">
        <v>307773.90000000002</v>
      </c>
      <c r="AB55" s="48"/>
      <c r="AC55" s="48">
        <v>0</v>
      </c>
      <c r="AD55" s="48"/>
      <c r="AE55" s="48">
        <v>33715</v>
      </c>
      <c r="AF55" s="48"/>
      <c r="AG55" s="48">
        <v>10622.36</v>
      </c>
      <c r="AH55" s="19">
        <f t="shared" si="2"/>
        <v>770253.32000000007</v>
      </c>
      <c r="AI55" s="48">
        <f t="shared" si="3"/>
        <v>780875.68</v>
      </c>
      <c r="AJ55" s="5"/>
      <c r="AK55" s="67"/>
      <c r="AL55" s="67"/>
      <c r="AM55" s="67"/>
    </row>
    <row r="56" spans="1:39" s="67" customFormat="1" ht="12" customHeight="1" x14ac:dyDescent="0.2">
      <c r="A56" s="1" t="s">
        <v>261</v>
      </c>
      <c r="B56" s="1"/>
      <c r="C56" s="1" t="s">
        <v>261</v>
      </c>
      <c r="D56" s="1"/>
      <c r="E56" s="48">
        <v>11365.13</v>
      </c>
      <c r="F56" s="48"/>
      <c r="G56" s="48">
        <v>0</v>
      </c>
      <c r="H56" s="48"/>
      <c r="I56" s="48">
        <v>25408.65</v>
      </c>
      <c r="J56" s="48"/>
      <c r="K56" s="48">
        <v>0</v>
      </c>
      <c r="L56" s="48"/>
      <c r="M56" s="48">
        <v>12370</v>
      </c>
      <c r="N56" s="48"/>
      <c r="O56" s="48">
        <v>4356.9399999999996</v>
      </c>
      <c r="P56" s="48"/>
      <c r="Q56" s="48">
        <v>661.85</v>
      </c>
      <c r="R56" s="48"/>
      <c r="S56" s="48">
        <v>5793.71</v>
      </c>
      <c r="T56" s="48"/>
      <c r="U56" s="48">
        <v>0</v>
      </c>
      <c r="V56" s="48"/>
      <c r="W56" s="48">
        <v>0</v>
      </c>
      <c r="X56" s="48"/>
      <c r="Y56" s="48">
        <v>0</v>
      </c>
      <c r="Z56" s="48"/>
      <c r="AA56" s="48">
        <v>0</v>
      </c>
      <c r="AB56" s="48"/>
      <c r="AC56" s="48">
        <v>0</v>
      </c>
      <c r="AD56" s="48"/>
      <c r="AE56" s="48">
        <v>0</v>
      </c>
      <c r="AF56" s="48"/>
      <c r="AG56" s="48">
        <v>0</v>
      </c>
      <c r="AH56" s="19">
        <f t="shared" si="2"/>
        <v>59956.28</v>
      </c>
      <c r="AI56" s="48">
        <f t="shared" si="3"/>
        <v>59956.28</v>
      </c>
      <c r="AJ56" s="5"/>
    </row>
    <row r="57" spans="1:39" ht="12" customHeight="1" x14ac:dyDescent="0.2">
      <c r="A57" s="1" t="s">
        <v>794</v>
      </c>
      <c r="C57" s="1" t="s">
        <v>476</v>
      </c>
      <c r="E57" s="48">
        <v>2316.84</v>
      </c>
      <c r="F57" s="48"/>
      <c r="G57" s="48">
        <v>0</v>
      </c>
      <c r="H57" s="48"/>
      <c r="I57" s="48">
        <v>20111.419999999998</v>
      </c>
      <c r="J57" s="48"/>
      <c r="K57" s="48">
        <v>0</v>
      </c>
      <c r="L57" s="48"/>
      <c r="M57" s="48">
        <v>0</v>
      </c>
      <c r="N57" s="48"/>
      <c r="O57" s="48">
        <v>3302.25</v>
      </c>
      <c r="P57" s="48"/>
      <c r="Q57" s="48">
        <v>3.68</v>
      </c>
      <c r="R57" s="48"/>
      <c r="S57" s="48">
        <v>6363.08</v>
      </c>
      <c r="T57" s="48"/>
      <c r="U57" s="48">
        <v>0</v>
      </c>
      <c r="V57" s="48"/>
      <c r="W57" s="48">
        <v>0</v>
      </c>
      <c r="X57" s="48"/>
      <c r="Y57" s="48">
        <v>0</v>
      </c>
      <c r="Z57" s="48"/>
      <c r="AA57" s="48">
        <v>0</v>
      </c>
      <c r="AB57" s="48"/>
      <c r="AC57" s="48">
        <v>0</v>
      </c>
      <c r="AD57" s="48"/>
      <c r="AE57" s="48">
        <v>0</v>
      </c>
      <c r="AF57" s="48"/>
      <c r="AG57" s="48">
        <v>0</v>
      </c>
      <c r="AH57" s="19">
        <f t="shared" si="2"/>
        <v>32097.269999999997</v>
      </c>
      <c r="AI57" s="48">
        <f t="shared" si="3"/>
        <v>32097.269999999997</v>
      </c>
      <c r="AJ57" s="5"/>
      <c r="AK57" s="4"/>
      <c r="AL57" s="4"/>
      <c r="AM57" s="4"/>
    </row>
    <row r="58" spans="1:39" ht="12" customHeight="1" x14ac:dyDescent="0.2">
      <c r="A58" s="1" t="s">
        <v>134</v>
      </c>
      <c r="C58" s="1" t="s">
        <v>429</v>
      </c>
      <c r="E58" s="48">
        <v>58592.39</v>
      </c>
      <c r="F58" s="48"/>
      <c r="G58" s="48">
        <v>0</v>
      </c>
      <c r="H58" s="48"/>
      <c r="I58" s="48">
        <v>10995.21</v>
      </c>
      <c r="J58" s="48"/>
      <c r="K58" s="48">
        <v>0</v>
      </c>
      <c r="L58" s="48"/>
      <c r="M58" s="48">
        <v>0</v>
      </c>
      <c r="N58" s="48"/>
      <c r="O58" s="48">
        <v>15575.69</v>
      </c>
      <c r="P58" s="48"/>
      <c r="Q58" s="48">
        <v>30.79</v>
      </c>
      <c r="R58" s="48"/>
      <c r="S58" s="48">
        <v>52366</v>
      </c>
      <c r="T58" s="48"/>
      <c r="U58" s="48">
        <v>0</v>
      </c>
      <c r="V58" s="48"/>
      <c r="W58" s="48">
        <v>0</v>
      </c>
      <c r="X58" s="48"/>
      <c r="Y58" s="48">
        <v>0</v>
      </c>
      <c r="Z58" s="48"/>
      <c r="AA58" s="48">
        <v>0</v>
      </c>
      <c r="AB58" s="48"/>
      <c r="AC58" s="48">
        <v>0</v>
      </c>
      <c r="AD58" s="48"/>
      <c r="AE58" s="48">
        <v>0</v>
      </c>
      <c r="AF58" s="48"/>
      <c r="AG58" s="48">
        <v>0</v>
      </c>
      <c r="AH58" s="19">
        <f t="shared" si="2"/>
        <v>137560.08000000002</v>
      </c>
      <c r="AI58" s="48">
        <f t="shared" si="3"/>
        <v>137560.08000000002</v>
      </c>
      <c r="AJ58" s="5"/>
      <c r="AK58" s="67"/>
      <c r="AL58" s="67"/>
      <c r="AM58" s="67"/>
    </row>
    <row r="59" spans="1:39" s="67" customFormat="1" ht="12" customHeight="1" x14ac:dyDescent="0.2">
      <c r="A59" s="1" t="s">
        <v>292</v>
      </c>
      <c r="B59" s="1"/>
      <c r="C59" s="1" t="s">
        <v>293</v>
      </c>
      <c r="D59" s="1"/>
      <c r="E59" s="48">
        <v>519008</v>
      </c>
      <c r="F59" s="48"/>
      <c r="G59" s="48">
        <v>854973</v>
      </c>
      <c r="H59" s="48"/>
      <c r="I59" s="48">
        <v>72259</v>
      </c>
      <c r="J59" s="48"/>
      <c r="K59" s="48">
        <v>0</v>
      </c>
      <c r="L59" s="48"/>
      <c r="M59" s="48">
        <v>10753</v>
      </c>
      <c r="N59" s="48"/>
      <c r="O59" s="48">
        <v>17027</v>
      </c>
      <c r="P59" s="48"/>
      <c r="Q59" s="48">
        <v>4517</v>
      </c>
      <c r="R59" s="48"/>
      <c r="S59" s="48">
        <v>37941</v>
      </c>
      <c r="T59" s="48"/>
      <c r="U59" s="48">
        <v>0</v>
      </c>
      <c r="V59" s="48"/>
      <c r="W59" s="48">
        <v>0</v>
      </c>
      <c r="X59" s="48"/>
      <c r="Y59" s="48">
        <v>0</v>
      </c>
      <c r="Z59" s="48"/>
      <c r="AA59" s="48">
        <v>0</v>
      </c>
      <c r="AB59" s="48"/>
      <c r="AC59" s="48">
        <v>0</v>
      </c>
      <c r="AD59" s="48"/>
      <c r="AE59" s="48">
        <v>0</v>
      </c>
      <c r="AF59" s="48"/>
      <c r="AG59" s="48">
        <v>0</v>
      </c>
      <c r="AH59" s="19">
        <f t="shared" si="2"/>
        <v>1516478</v>
      </c>
      <c r="AI59" s="48">
        <f t="shared" si="3"/>
        <v>1516478</v>
      </c>
      <c r="AJ59" s="5"/>
      <c r="AK59" s="87"/>
      <c r="AL59" s="87"/>
      <c r="AM59" s="87"/>
    </row>
    <row r="60" spans="1:39" ht="12" customHeight="1" x14ac:dyDescent="0.2">
      <c r="A60" s="1" t="s">
        <v>761</v>
      </c>
      <c r="C60" s="1" t="s">
        <v>360</v>
      </c>
      <c r="E60" s="48">
        <v>4784.78</v>
      </c>
      <c r="F60" s="48"/>
      <c r="G60" s="48">
        <v>0</v>
      </c>
      <c r="H60" s="48"/>
      <c r="I60" s="48">
        <v>22208.14</v>
      </c>
      <c r="J60" s="48"/>
      <c r="K60" s="48">
        <v>0</v>
      </c>
      <c r="L60" s="48"/>
      <c r="M60" s="48">
        <v>0</v>
      </c>
      <c r="N60" s="48"/>
      <c r="O60" s="48">
        <v>0</v>
      </c>
      <c r="P60" s="48"/>
      <c r="Q60" s="48">
        <v>749.58</v>
      </c>
      <c r="R60" s="48"/>
      <c r="S60" s="48">
        <v>83918.39</v>
      </c>
      <c r="T60" s="48"/>
      <c r="U60" s="48">
        <v>0</v>
      </c>
      <c r="V60" s="48"/>
      <c r="W60" s="48">
        <v>0</v>
      </c>
      <c r="X60" s="48"/>
      <c r="Y60" s="48">
        <v>0</v>
      </c>
      <c r="Z60" s="48"/>
      <c r="AA60" s="48">
        <v>0</v>
      </c>
      <c r="AB60" s="48"/>
      <c r="AC60" s="48">
        <v>0</v>
      </c>
      <c r="AD60" s="48"/>
      <c r="AE60" s="48">
        <v>0</v>
      </c>
      <c r="AF60" s="48"/>
      <c r="AG60" s="48">
        <v>0</v>
      </c>
      <c r="AH60" s="19">
        <f t="shared" si="2"/>
        <v>111660.89</v>
      </c>
      <c r="AI60" s="48">
        <f t="shared" si="3"/>
        <v>111660.89</v>
      </c>
      <c r="AJ60" s="5"/>
      <c r="AK60" s="87"/>
      <c r="AL60" s="87"/>
      <c r="AM60" s="87"/>
    </row>
    <row r="61" spans="1:39" ht="12" customHeight="1" x14ac:dyDescent="0.2">
      <c r="A61" s="1" t="s">
        <v>130</v>
      </c>
      <c r="C61" s="1" t="s">
        <v>423</v>
      </c>
      <c r="E61" s="48">
        <v>28625.13</v>
      </c>
      <c r="F61" s="48"/>
      <c r="G61" s="48">
        <v>0</v>
      </c>
      <c r="H61" s="48"/>
      <c r="I61" s="48">
        <v>3927.16</v>
      </c>
      <c r="J61" s="48"/>
      <c r="K61" s="48">
        <v>0</v>
      </c>
      <c r="L61" s="48"/>
      <c r="M61" s="48">
        <v>16877.25</v>
      </c>
      <c r="N61" s="48"/>
      <c r="O61" s="48">
        <v>44963.01</v>
      </c>
      <c r="P61" s="48"/>
      <c r="Q61" s="48">
        <v>30.08</v>
      </c>
      <c r="R61" s="48"/>
      <c r="S61" s="48">
        <v>4280.6499999999996</v>
      </c>
      <c r="T61" s="48"/>
      <c r="U61" s="48">
        <v>0</v>
      </c>
      <c r="V61" s="48"/>
      <c r="W61" s="48">
        <v>0</v>
      </c>
      <c r="X61" s="48"/>
      <c r="Y61" s="48">
        <v>0</v>
      </c>
      <c r="Z61" s="48"/>
      <c r="AA61" s="48">
        <v>0</v>
      </c>
      <c r="AB61" s="48"/>
      <c r="AC61" s="48">
        <v>0</v>
      </c>
      <c r="AD61" s="48"/>
      <c r="AE61" s="48">
        <v>0</v>
      </c>
      <c r="AF61" s="48"/>
      <c r="AG61" s="48">
        <v>0</v>
      </c>
      <c r="AH61" s="19">
        <f t="shared" si="2"/>
        <v>98703.28</v>
      </c>
      <c r="AI61" s="48">
        <f t="shared" si="3"/>
        <v>98703.28</v>
      </c>
      <c r="AJ61" s="5"/>
    </row>
    <row r="62" spans="1:39" s="67" customFormat="1" ht="12" customHeight="1" x14ac:dyDescent="0.2">
      <c r="A62" s="1" t="s">
        <v>54</v>
      </c>
      <c r="B62" s="1"/>
      <c r="C62" s="1" t="s">
        <v>325</v>
      </c>
      <c r="D62" s="1"/>
      <c r="E62" s="48">
        <v>109589.77</v>
      </c>
      <c r="F62" s="48"/>
      <c r="G62" s="48">
        <v>0</v>
      </c>
      <c r="H62" s="48"/>
      <c r="I62" s="48">
        <v>45807.49</v>
      </c>
      <c r="J62" s="48"/>
      <c r="K62" s="48">
        <v>0</v>
      </c>
      <c r="L62" s="48"/>
      <c r="M62" s="48">
        <v>0</v>
      </c>
      <c r="N62" s="48"/>
      <c r="O62" s="48">
        <v>8851.98</v>
      </c>
      <c r="P62" s="48"/>
      <c r="Q62" s="48">
        <v>140.63</v>
      </c>
      <c r="R62" s="48"/>
      <c r="S62" s="48">
        <v>3484.65</v>
      </c>
      <c r="T62" s="48"/>
      <c r="U62" s="48">
        <v>0</v>
      </c>
      <c r="V62" s="48"/>
      <c r="W62" s="48">
        <v>0</v>
      </c>
      <c r="X62" s="48"/>
      <c r="Y62" s="48">
        <v>0</v>
      </c>
      <c r="Z62" s="48"/>
      <c r="AA62" s="48">
        <v>0</v>
      </c>
      <c r="AB62" s="48"/>
      <c r="AC62" s="48">
        <v>0</v>
      </c>
      <c r="AD62" s="48"/>
      <c r="AE62" s="48">
        <v>0</v>
      </c>
      <c r="AF62" s="48"/>
      <c r="AG62" s="48">
        <v>0</v>
      </c>
      <c r="AH62" s="19">
        <f t="shared" si="2"/>
        <v>167874.52000000002</v>
      </c>
      <c r="AI62" s="48">
        <f t="shared" si="3"/>
        <v>167874.52000000002</v>
      </c>
      <c r="AJ62" s="5"/>
      <c r="AK62" s="87"/>
      <c r="AL62" s="87"/>
      <c r="AM62" s="87"/>
    </row>
    <row r="63" spans="1:39" ht="12" customHeight="1" x14ac:dyDescent="0.2">
      <c r="A63" s="1" t="s">
        <v>278</v>
      </c>
      <c r="C63" s="1" t="s">
        <v>277</v>
      </c>
      <c r="E63" s="48">
        <v>157348.94</v>
      </c>
      <c r="F63" s="48"/>
      <c r="G63" s="48">
        <v>0</v>
      </c>
      <c r="H63" s="48"/>
      <c r="I63" s="48">
        <v>112655.52</v>
      </c>
      <c r="J63" s="48"/>
      <c r="K63" s="48">
        <v>0</v>
      </c>
      <c r="L63" s="48"/>
      <c r="M63" s="48">
        <v>152417.5</v>
      </c>
      <c r="N63" s="48"/>
      <c r="O63" s="48">
        <v>84969.18</v>
      </c>
      <c r="P63" s="48"/>
      <c r="Q63" s="48">
        <v>15877.51</v>
      </c>
      <c r="R63" s="48"/>
      <c r="S63" s="48">
        <v>7706.69</v>
      </c>
      <c r="T63" s="48"/>
      <c r="U63" s="48">
        <v>0</v>
      </c>
      <c r="V63" s="48"/>
      <c r="W63" s="48">
        <v>0</v>
      </c>
      <c r="X63" s="48"/>
      <c r="Y63" s="48">
        <v>0</v>
      </c>
      <c r="Z63" s="48"/>
      <c r="AA63" s="48">
        <v>0</v>
      </c>
      <c r="AB63" s="48"/>
      <c r="AC63" s="48">
        <v>0</v>
      </c>
      <c r="AD63" s="48"/>
      <c r="AE63" s="48">
        <v>0</v>
      </c>
      <c r="AF63" s="48"/>
      <c r="AG63" s="48">
        <v>0</v>
      </c>
      <c r="AH63" s="19">
        <f t="shared" si="2"/>
        <v>530975.34</v>
      </c>
      <c r="AI63" s="48">
        <f t="shared" si="3"/>
        <v>530975.34</v>
      </c>
      <c r="AJ63" s="5"/>
    </row>
    <row r="64" spans="1:39" ht="12" customHeight="1" x14ac:dyDescent="0.2">
      <c r="A64" s="1" t="s">
        <v>15</v>
      </c>
      <c r="C64" s="1" t="s">
        <v>261</v>
      </c>
      <c r="E64" s="48">
        <v>41398.57</v>
      </c>
      <c r="F64" s="48"/>
      <c r="G64" s="48">
        <v>0</v>
      </c>
      <c r="H64" s="48"/>
      <c r="I64" s="48">
        <v>31882.38</v>
      </c>
      <c r="J64" s="48"/>
      <c r="K64" s="48">
        <v>0</v>
      </c>
      <c r="L64" s="48"/>
      <c r="M64" s="48">
        <v>1000</v>
      </c>
      <c r="N64" s="48"/>
      <c r="O64" s="48">
        <v>10975</v>
      </c>
      <c r="P64" s="48"/>
      <c r="Q64" s="48">
        <v>577.29</v>
      </c>
      <c r="R64" s="48"/>
      <c r="S64" s="48">
        <v>173401.32</v>
      </c>
      <c r="T64" s="48"/>
      <c r="U64" s="48">
        <v>0</v>
      </c>
      <c r="V64" s="48"/>
      <c r="W64" s="48">
        <v>0</v>
      </c>
      <c r="X64" s="48"/>
      <c r="Y64" s="48">
        <v>0</v>
      </c>
      <c r="Z64" s="48"/>
      <c r="AA64" s="48">
        <v>0</v>
      </c>
      <c r="AB64" s="48"/>
      <c r="AC64" s="48">
        <v>9000</v>
      </c>
      <c r="AD64" s="48"/>
      <c r="AE64" s="48">
        <v>0</v>
      </c>
      <c r="AF64" s="48"/>
      <c r="AG64" s="48">
        <v>292215.59999999998</v>
      </c>
      <c r="AH64" s="19">
        <f t="shared" si="2"/>
        <v>268234.56</v>
      </c>
      <c r="AI64" s="48">
        <f t="shared" si="3"/>
        <v>560450.15999999992</v>
      </c>
      <c r="AJ64" s="17"/>
    </row>
    <row r="65" spans="1:39" ht="12" customHeight="1" x14ac:dyDescent="0.2">
      <c r="A65" s="1" t="s">
        <v>493</v>
      </c>
      <c r="C65" s="1" t="s">
        <v>494</v>
      </c>
      <c r="E65" s="48">
        <v>19191.27</v>
      </c>
      <c r="F65" s="48"/>
      <c r="G65" s="48">
        <v>121028.61</v>
      </c>
      <c r="H65" s="48"/>
      <c r="I65" s="48">
        <v>35614.480000000003</v>
      </c>
      <c r="J65" s="48"/>
      <c r="K65" s="48">
        <v>0</v>
      </c>
      <c r="L65" s="48"/>
      <c r="M65" s="48">
        <v>42659</v>
      </c>
      <c r="N65" s="48"/>
      <c r="O65" s="48">
        <v>22153.86</v>
      </c>
      <c r="P65" s="48"/>
      <c r="Q65" s="48">
        <v>1698.43</v>
      </c>
      <c r="R65" s="48"/>
      <c r="S65" s="48">
        <v>32805.94</v>
      </c>
      <c r="T65" s="48"/>
      <c r="U65" s="48">
        <v>0</v>
      </c>
      <c r="V65" s="48"/>
      <c r="W65" s="48">
        <v>0</v>
      </c>
      <c r="X65" s="48"/>
      <c r="Y65" s="48">
        <v>0</v>
      </c>
      <c r="Z65" s="48"/>
      <c r="AA65" s="48">
        <v>0</v>
      </c>
      <c r="AB65" s="48"/>
      <c r="AC65" s="48">
        <v>0</v>
      </c>
      <c r="AD65" s="48"/>
      <c r="AE65" s="48">
        <v>0</v>
      </c>
      <c r="AF65" s="48"/>
      <c r="AG65" s="48">
        <v>0</v>
      </c>
      <c r="AH65" s="19">
        <f t="shared" si="2"/>
        <v>275151.59000000003</v>
      </c>
      <c r="AI65" s="48">
        <f t="shared" si="3"/>
        <v>275151.59000000003</v>
      </c>
      <c r="AJ65" s="5"/>
      <c r="AK65" s="67"/>
      <c r="AL65" s="67"/>
      <c r="AM65" s="67"/>
    </row>
    <row r="66" spans="1:39" s="67" customFormat="1" ht="12" customHeight="1" x14ac:dyDescent="0.2">
      <c r="A66" s="1" t="s">
        <v>544</v>
      </c>
      <c r="B66" s="1"/>
      <c r="C66" s="1" t="s">
        <v>545</v>
      </c>
      <c r="D66" s="1"/>
      <c r="E66" s="48">
        <v>49421.18</v>
      </c>
      <c r="F66" s="48"/>
      <c r="G66" s="48">
        <v>285037</v>
      </c>
      <c r="H66" s="48"/>
      <c r="I66" s="48">
        <v>191273.29</v>
      </c>
      <c r="J66" s="48"/>
      <c r="K66" s="48">
        <v>0</v>
      </c>
      <c r="L66" s="48"/>
      <c r="M66" s="48">
        <v>144099.69</v>
      </c>
      <c r="N66" s="48"/>
      <c r="O66" s="48">
        <v>15714</v>
      </c>
      <c r="P66" s="48"/>
      <c r="Q66" s="48">
        <v>6001.44</v>
      </c>
      <c r="R66" s="48"/>
      <c r="S66" s="48">
        <v>23156.63</v>
      </c>
      <c r="T66" s="48"/>
      <c r="U66" s="48">
        <v>0</v>
      </c>
      <c r="V66" s="48"/>
      <c r="W66" s="48">
        <v>0</v>
      </c>
      <c r="X66" s="48"/>
      <c r="Y66" s="48">
        <v>0</v>
      </c>
      <c r="Z66" s="48"/>
      <c r="AA66" s="48">
        <v>0</v>
      </c>
      <c r="AB66" s="48"/>
      <c r="AC66" s="48">
        <v>0</v>
      </c>
      <c r="AD66" s="48"/>
      <c r="AE66" s="48">
        <v>0</v>
      </c>
      <c r="AF66" s="48"/>
      <c r="AG66" s="48">
        <v>0</v>
      </c>
      <c r="AH66" s="19">
        <f t="shared" si="2"/>
        <v>714703.22999999986</v>
      </c>
      <c r="AI66" s="48">
        <f t="shared" si="3"/>
        <v>714703.22999999986</v>
      </c>
      <c r="AJ66" s="5"/>
      <c r="AK66" s="5"/>
    </row>
    <row r="67" spans="1:39" s="67" customFormat="1" ht="12" customHeight="1" x14ac:dyDescent="0.2">
      <c r="A67" s="1" t="s">
        <v>234</v>
      </c>
      <c r="B67" s="1"/>
      <c r="C67" s="1" t="s">
        <v>554</v>
      </c>
      <c r="D67" s="1"/>
      <c r="E67" s="48">
        <v>3023.05</v>
      </c>
      <c r="F67" s="48"/>
      <c r="G67" s="48">
        <v>0</v>
      </c>
      <c r="H67" s="48"/>
      <c r="I67" s="48">
        <v>9037.86</v>
      </c>
      <c r="J67" s="48"/>
      <c r="K67" s="48">
        <v>119.56</v>
      </c>
      <c r="L67" s="48"/>
      <c r="M67" s="48">
        <v>0</v>
      </c>
      <c r="N67" s="48"/>
      <c r="O67" s="48">
        <v>2253</v>
      </c>
      <c r="P67" s="48"/>
      <c r="Q67" s="48">
        <v>141.44999999999999</v>
      </c>
      <c r="R67" s="48"/>
      <c r="S67" s="48">
        <v>589.32000000000005</v>
      </c>
      <c r="T67" s="48"/>
      <c r="U67" s="48">
        <v>0</v>
      </c>
      <c r="V67" s="48"/>
      <c r="W67" s="48">
        <v>0</v>
      </c>
      <c r="X67" s="48"/>
      <c r="Y67" s="48">
        <v>0</v>
      </c>
      <c r="Z67" s="48"/>
      <c r="AA67" s="48">
        <v>0</v>
      </c>
      <c r="AB67" s="48"/>
      <c r="AC67" s="48">
        <v>0</v>
      </c>
      <c r="AD67" s="48"/>
      <c r="AE67" s="48">
        <v>0</v>
      </c>
      <c r="AF67" s="48"/>
      <c r="AG67" s="48">
        <v>0</v>
      </c>
      <c r="AH67" s="19">
        <f t="shared" si="2"/>
        <v>15164.24</v>
      </c>
      <c r="AI67" s="48">
        <f t="shared" si="3"/>
        <v>15164.24</v>
      </c>
      <c r="AJ67" s="5"/>
      <c r="AK67" s="1"/>
      <c r="AL67" s="1"/>
      <c r="AM67" s="1"/>
    </row>
    <row r="68" spans="1:39" ht="12" customHeight="1" x14ac:dyDescent="0.2">
      <c r="A68" s="1" t="s">
        <v>789</v>
      </c>
      <c r="C68" s="1" t="s">
        <v>280</v>
      </c>
      <c r="E68" s="48">
        <v>493037</v>
      </c>
      <c r="F68" s="48"/>
      <c r="G68" s="48">
        <v>0</v>
      </c>
      <c r="H68" s="48"/>
      <c r="I68" s="48">
        <v>238398</v>
      </c>
      <c r="J68" s="48"/>
      <c r="K68" s="48">
        <v>2338</v>
      </c>
      <c r="L68" s="48"/>
      <c r="M68" s="48">
        <v>4359</v>
      </c>
      <c r="N68" s="48"/>
      <c r="O68" s="48">
        <v>55462</v>
      </c>
      <c r="P68" s="48"/>
      <c r="Q68" s="48">
        <v>69494</v>
      </c>
      <c r="R68" s="48"/>
      <c r="S68" s="48">
        <v>48398</v>
      </c>
      <c r="T68" s="48"/>
      <c r="U68" s="48">
        <v>0</v>
      </c>
      <c r="V68" s="48"/>
      <c r="W68" s="48">
        <v>0</v>
      </c>
      <c r="X68" s="48"/>
      <c r="Y68" s="48">
        <v>0</v>
      </c>
      <c r="Z68" s="48"/>
      <c r="AA68" s="48">
        <v>0</v>
      </c>
      <c r="AB68" s="48"/>
      <c r="AC68" s="48">
        <v>22297</v>
      </c>
      <c r="AD68" s="48"/>
      <c r="AE68" s="48">
        <v>0</v>
      </c>
      <c r="AF68" s="48"/>
      <c r="AG68" s="48">
        <v>0</v>
      </c>
      <c r="AH68" s="19">
        <f t="shared" si="2"/>
        <v>933783</v>
      </c>
      <c r="AI68" s="48">
        <f t="shared" si="3"/>
        <v>933783</v>
      </c>
      <c r="AJ68" s="5"/>
    </row>
    <row r="69" spans="1:39" s="67" customFormat="1" ht="12" customHeight="1" x14ac:dyDescent="0.2">
      <c r="A69" s="1" t="s">
        <v>559</v>
      </c>
      <c r="B69" s="1"/>
      <c r="C69" s="1" t="s">
        <v>558</v>
      </c>
      <c r="D69" s="1"/>
      <c r="E69" s="48">
        <v>28370</v>
      </c>
      <c r="F69" s="48"/>
      <c r="G69" s="48">
        <v>86091</v>
      </c>
      <c r="H69" s="48"/>
      <c r="I69" s="48">
        <v>28917</v>
      </c>
      <c r="J69" s="48"/>
      <c r="K69" s="48">
        <v>0</v>
      </c>
      <c r="L69" s="48"/>
      <c r="M69" s="48">
        <v>40494</v>
      </c>
      <c r="N69" s="48"/>
      <c r="O69" s="48">
        <v>3239</v>
      </c>
      <c r="P69" s="48"/>
      <c r="Q69" s="48">
        <v>565</v>
      </c>
      <c r="R69" s="48"/>
      <c r="S69" s="48">
        <v>7627</v>
      </c>
      <c r="T69" s="48"/>
      <c r="U69" s="48">
        <v>0</v>
      </c>
      <c r="V69" s="48"/>
      <c r="W69" s="48">
        <v>0</v>
      </c>
      <c r="X69" s="48"/>
      <c r="Y69" s="48">
        <v>0</v>
      </c>
      <c r="Z69" s="48"/>
      <c r="AA69" s="48">
        <v>0</v>
      </c>
      <c r="AB69" s="48"/>
      <c r="AC69" s="48">
        <v>0</v>
      </c>
      <c r="AD69" s="48"/>
      <c r="AE69" s="48">
        <v>0</v>
      </c>
      <c r="AF69" s="48"/>
      <c r="AG69" s="48">
        <v>0</v>
      </c>
      <c r="AH69" s="19">
        <f t="shared" si="2"/>
        <v>195303</v>
      </c>
      <c r="AI69" s="48">
        <f t="shared" si="3"/>
        <v>195303</v>
      </c>
      <c r="AJ69" s="5"/>
      <c r="AK69" s="1"/>
      <c r="AL69" s="1"/>
      <c r="AM69" s="1"/>
    </row>
    <row r="70" spans="1:39" ht="12" customHeight="1" x14ac:dyDescent="0.2">
      <c r="A70" s="1" t="s">
        <v>63</v>
      </c>
      <c r="C70" s="1" t="s">
        <v>334</v>
      </c>
      <c r="E70" s="48">
        <v>46589.73</v>
      </c>
      <c r="F70" s="48"/>
      <c r="G70" s="48">
        <v>0</v>
      </c>
      <c r="H70" s="48"/>
      <c r="I70" s="48">
        <v>23202.53</v>
      </c>
      <c r="J70" s="48"/>
      <c r="K70" s="48">
        <v>0</v>
      </c>
      <c r="L70" s="48"/>
      <c r="M70" s="48">
        <v>11842.23</v>
      </c>
      <c r="N70" s="48"/>
      <c r="O70" s="48">
        <v>7204.63</v>
      </c>
      <c r="P70" s="48"/>
      <c r="Q70" s="48">
        <v>888.8</v>
      </c>
      <c r="R70" s="48"/>
      <c r="S70" s="48">
        <v>25203.23</v>
      </c>
      <c r="T70" s="48"/>
      <c r="U70" s="48">
        <v>0</v>
      </c>
      <c r="V70" s="48"/>
      <c r="W70" s="48">
        <v>0</v>
      </c>
      <c r="X70" s="48"/>
      <c r="Y70" s="48">
        <v>0</v>
      </c>
      <c r="Z70" s="48"/>
      <c r="AA70" s="48">
        <v>0</v>
      </c>
      <c r="AB70" s="48"/>
      <c r="AC70" s="48">
        <v>0</v>
      </c>
      <c r="AD70" s="48"/>
      <c r="AE70" s="48">
        <v>0</v>
      </c>
      <c r="AF70" s="48"/>
      <c r="AG70" s="48">
        <v>0</v>
      </c>
      <c r="AH70" s="19">
        <f t="shared" si="2"/>
        <v>114931.15000000001</v>
      </c>
      <c r="AI70" s="48">
        <f t="shared" si="3"/>
        <v>114931.15000000001</v>
      </c>
      <c r="AJ70" s="5"/>
    </row>
    <row r="71" spans="1:39" s="67" customFormat="1" ht="12" customHeight="1" x14ac:dyDescent="0.2">
      <c r="A71" s="1" t="s">
        <v>110</v>
      </c>
      <c r="B71" s="1"/>
      <c r="C71" s="1" t="s">
        <v>390</v>
      </c>
      <c r="D71" s="1"/>
      <c r="E71" s="48">
        <v>2908.29</v>
      </c>
      <c r="F71" s="48"/>
      <c r="G71" s="48">
        <v>17245.599999999999</v>
      </c>
      <c r="H71" s="48"/>
      <c r="I71" s="48">
        <v>8588.93</v>
      </c>
      <c r="J71" s="48"/>
      <c r="K71" s="48">
        <v>0</v>
      </c>
      <c r="L71" s="48"/>
      <c r="M71" s="48">
        <v>0</v>
      </c>
      <c r="N71" s="48"/>
      <c r="O71" s="48">
        <v>630.77</v>
      </c>
      <c r="P71" s="48"/>
      <c r="Q71" s="48">
        <v>0</v>
      </c>
      <c r="R71" s="48"/>
      <c r="S71" s="48">
        <v>2800.57</v>
      </c>
      <c r="T71" s="48"/>
      <c r="U71" s="48">
        <v>0</v>
      </c>
      <c r="V71" s="48"/>
      <c r="W71" s="48">
        <v>0</v>
      </c>
      <c r="X71" s="48"/>
      <c r="Y71" s="48">
        <v>0</v>
      </c>
      <c r="Z71" s="48"/>
      <c r="AA71" s="48">
        <v>0</v>
      </c>
      <c r="AB71" s="48"/>
      <c r="AC71" s="48">
        <v>0</v>
      </c>
      <c r="AD71" s="48"/>
      <c r="AE71" s="48">
        <v>0</v>
      </c>
      <c r="AF71" s="48"/>
      <c r="AG71" s="48">
        <v>0</v>
      </c>
      <c r="AH71" s="19">
        <f t="shared" si="2"/>
        <v>32174.16</v>
      </c>
      <c r="AI71" s="48">
        <f t="shared" si="3"/>
        <v>32174.16</v>
      </c>
      <c r="AJ71" s="5"/>
      <c r="AK71" s="4"/>
      <c r="AL71" s="4"/>
      <c r="AM71" s="4"/>
    </row>
    <row r="72" spans="1:39" ht="12" customHeight="1" x14ac:dyDescent="0.2">
      <c r="A72" s="1" t="s">
        <v>495</v>
      </c>
      <c r="C72" s="1" t="s">
        <v>494</v>
      </c>
      <c r="E72" s="48">
        <v>29933</v>
      </c>
      <c r="F72" s="48"/>
      <c r="G72" s="48">
        <v>0</v>
      </c>
      <c r="H72" s="48"/>
      <c r="I72" s="48">
        <v>45151</v>
      </c>
      <c r="J72" s="48"/>
      <c r="K72" s="48">
        <v>0</v>
      </c>
      <c r="L72" s="48"/>
      <c r="M72" s="48">
        <v>0</v>
      </c>
      <c r="N72" s="48"/>
      <c r="O72" s="48">
        <v>6860</v>
      </c>
      <c r="P72" s="48"/>
      <c r="Q72" s="48">
        <v>80</v>
      </c>
      <c r="R72" s="48"/>
      <c r="S72" s="48">
        <v>9757</v>
      </c>
      <c r="T72" s="48"/>
      <c r="U72" s="48">
        <v>0</v>
      </c>
      <c r="V72" s="48"/>
      <c r="W72" s="48">
        <v>0</v>
      </c>
      <c r="X72" s="48"/>
      <c r="Y72" s="48">
        <v>0</v>
      </c>
      <c r="Z72" s="48"/>
      <c r="AA72" s="48">
        <v>0</v>
      </c>
      <c r="AB72" s="48"/>
      <c r="AC72" s="48">
        <v>0</v>
      </c>
      <c r="AD72" s="48"/>
      <c r="AE72" s="48">
        <v>0</v>
      </c>
      <c r="AF72" s="48"/>
      <c r="AG72" s="48">
        <v>0</v>
      </c>
      <c r="AH72" s="19">
        <f t="shared" si="2"/>
        <v>91781</v>
      </c>
      <c r="AI72" s="48">
        <f t="shared" si="3"/>
        <v>91781</v>
      </c>
      <c r="AJ72" s="5"/>
      <c r="AK72" s="87"/>
      <c r="AL72" s="87"/>
      <c r="AM72" s="87"/>
    </row>
    <row r="73" spans="1:39" ht="12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19"/>
      <c r="AI73" s="48"/>
      <c r="AJ73" s="5"/>
      <c r="AK73" s="87"/>
      <c r="AL73" s="87"/>
      <c r="AM73" s="87"/>
    </row>
    <row r="74" spans="1:39" ht="12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19"/>
      <c r="AI74" s="88" t="s">
        <v>733</v>
      </c>
      <c r="AJ74" s="5"/>
      <c r="AK74" s="87"/>
      <c r="AL74" s="87"/>
      <c r="AM74" s="87"/>
    </row>
    <row r="75" spans="1:39" ht="12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9"/>
      <c r="AI75" s="48"/>
      <c r="AJ75" s="5"/>
      <c r="AK75" s="87"/>
      <c r="AL75" s="87"/>
      <c r="AM75" s="87"/>
    </row>
    <row r="76" spans="1:39" ht="12" customHeight="1" x14ac:dyDescent="0.2">
      <c r="A76" s="1" t="s">
        <v>633</v>
      </c>
      <c r="C76" s="1" t="s">
        <v>651</v>
      </c>
      <c r="E76" s="68">
        <v>187892</v>
      </c>
      <c r="F76" s="48"/>
      <c r="G76" s="68">
        <v>1683431</v>
      </c>
      <c r="H76" s="68"/>
      <c r="I76" s="68">
        <v>156755</v>
      </c>
      <c r="J76" s="68"/>
      <c r="K76" s="68">
        <v>0</v>
      </c>
      <c r="L76" s="68"/>
      <c r="M76" s="68">
        <v>305966</v>
      </c>
      <c r="N76" s="68"/>
      <c r="O76" s="68">
        <v>19063</v>
      </c>
      <c r="P76" s="68"/>
      <c r="Q76" s="68">
        <v>2088</v>
      </c>
      <c r="R76" s="68"/>
      <c r="S76" s="68">
        <f>11315+62141</f>
        <v>73456</v>
      </c>
      <c r="T76" s="68"/>
      <c r="U76" s="68">
        <v>0</v>
      </c>
      <c r="V76" s="68"/>
      <c r="W76" s="68">
        <v>0</v>
      </c>
      <c r="X76" s="68"/>
      <c r="Y76" s="68">
        <v>0</v>
      </c>
      <c r="Z76" s="68"/>
      <c r="AA76" s="68">
        <v>26000</v>
      </c>
      <c r="AB76" s="68"/>
      <c r="AC76" s="68">
        <v>250000</v>
      </c>
      <c r="AD76" s="68"/>
      <c r="AE76" s="68">
        <v>0</v>
      </c>
      <c r="AF76" s="68"/>
      <c r="AG76" s="68">
        <v>0</v>
      </c>
      <c r="AH76" s="68">
        <f t="shared" si="2"/>
        <v>2704651</v>
      </c>
      <c r="AI76" s="68">
        <f t="shared" si="3"/>
        <v>2704651</v>
      </c>
      <c r="AJ76" s="5"/>
      <c r="AK76" s="87"/>
      <c r="AL76" s="87"/>
      <c r="AM76" s="87"/>
    </row>
    <row r="77" spans="1:39" s="67" customFormat="1" ht="12" customHeight="1" x14ac:dyDescent="0.2">
      <c r="A77" s="1" t="s">
        <v>523</v>
      </c>
      <c r="B77" s="1"/>
      <c r="C77" s="1" t="s">
        <v>521</v>
      </c>
      <c r="D77" s="1"/>
      <c r="E77" s="48">
        <v>43779.48</v>
      </c>
      <c r="F77" s="48"/>
      <c r="G77" s="48">
        <v>0</v>
      </c>
      <c r="H77" s="48"/>
      <c r="I77" s="48">
        <v>270850.96000000002</v>
      </c>
      <c r="J77" s="48"/>
      <c r="K77" s="48">
        <v>233.71</v>
      </c>
      <c r="L77" s="48"/>
      <c r="M77" s="48">
        <v>50308</v>
      </c>
      <c r="N77" s="48"/>
      <c r="O77" s="48">
        <v>18705.900000000001</v>
      </c>
      <c r="P77" s="48"/>
      <c r="Q77" s="48">
        <v>95.63</v>
      </c>
      <c r="R77" s="48"/>
      <c r="S77" s="48">
        <v>2779.22</v>
      </c>
      <c r="T77" s="48"/>
      <c r="U77" s="48">
        <v>0</v>
      </c>
      <c r="V77" s="48"/>
      <c r="W77" s="48">
        <v>0</v>
      </c>
      <c r="X77" s="48"/>
      <c r="Y77" s="48">
        <v>0</v>
      </c>
      <c r="Z77" s="48"/>
      <c r="AA77" s="48">
        <v>43183.15</v>
      </c>
      <c r="AB77" s="48"/>
      <c r="AC77" s="48">
        <v>0</v>
      </c>
      <c r="AD77" s="48"/>
      <c r="AE77" s="48">
        <v>13.4</v>
      </c>
      <c r="AF77" s="48"/>
      <c r="AG77" s="48">
        <v>0</v>
      </c>
      <c r="AH77" s="19">
        <f t="shared" si="2"/>
        <v>429949.45000000007</v>
      </c>
      <c r="AI77" s="48">
        <f t="shared" si="3"/>
        <v>429949.45000000007</v>
      </c>
      <c r="AJ77" s="5"/>
      <c r="AK77" s="1"/>
      <c r="AL77" s="1"/>
      <c r="AM77" s="1"/>
    </row>
    <row r="78" spans="1:39" s="67" customFormat="1" ht="12" customHeight="1" x14ac:dyDescent="0.2">
      <c r="A78" s="1" t="s">
        <v>510</v>
      </c>
      <c r="B78" s="1"/>
      <c r="C78" s="1" t="s">
        <v>511</v>
      </c>
      <c r="D78" s="1"/>
      <c r="E78" s="48">
        <f>110707+71969</f>
        <v>182676</v>
      </c>
      <c r="F78" s="48"/>
      <c r="G78" s="48">
        <v>1337394</v>
      </c>
      <c r="H78" s="48"/>
      <c r="I78" s="48">
        <v>65496</v>
      </c>
      <c r="J78" s="48"/>
      <c r="K78" s="48">
        <v>0</v>
      </c>
      <c r="L78" s="48"/>
      <c r="M78" s="48">
        <v>16528</v>
      </c>
      <c r="N78" s="48"/>
      <c r="O78" s="48">
        <f>5815+250675</f>
        <v>256490</v>
      </c>
      <c r="P78" s="48"/>
      <c r="Q78" s="48">
        <v>9</v>
      </c>
      <c r="R78" s="48"/>
      <c r="S78" s="48">
        <f>79256+6267</f>
        <v>85523</v>
      </c>
      <c r="T78" s="48"/>
      <c r="U78" s="48">
        <v>0</v>
      </c>
      <c r="V78" s="48"/>
      <c r="W78" s="48">
        <v>0</v>
      </c>
      <c r="X78" s="48"/>
      <c r="Y78" s="48">
        <v>0</v>
      </c>
      <c r="Z78" s="48"/>
      <c r="AA78" s="48">
        <v>0</v>
      </c>
      <c r="AB78" s="48"/>
      <c r="AC78" s="48">
        <v>0</v>
      </c>
      <c r="AD78" s="48"/>
      <c r="AE78" s="48">
        <v>0</v>
      </c>
      <c r="AF78" s="48"/>
      <c r="AG78" s="48">
        <v>0</v>
      </c>
      <c r="AH78" s="19">
        <f t="shared" si="2"/>
        <v>1944116</v>
      </c>
      <c r="AI78" s="48">
        <f t="shared" si="3"/>
        <v>1944116</v>
      </c>
      <c r="AJ78" s="5"/>
    </row>
    <row r="79" spans="1:39" ht="12" customHeight="1" x14ac:dyDescent="0.2">
      <c r="A79" s="1" t="s">
        <v>497</v>
      </c>
      <c r="C79" s="1" t="s">
        <v>498</v>
      </c>
      <c r="E79" s="48">
        <v>35799</v>
      </c>
      <c r="F79" s="48"/>
      <c r="G79" s="48">
        <v>451442</v>
      </c>
      <c r="H79" s="48"/>
      <c r="I79" s="48">
        <v>46268</v>
      </c>
      <c r="J79" s="48"/>
      <c r="K79" s="48">
        <v>84</v>
      </c>
      <c r="L79" s="48"/>
      <c r="M79" s="48">
        <v>47934</v>
      </c>
      <c r="N79" s="48"/>
      <c r="O79" s="48">
        <v>13410</v>
      </c>
      <c r="P79" s="48"/>
      <c r="Q79" s="48">
        <v>5872</v>
      </c>
      <c r="R79" s="48"/>
      <c r="S79" s="48">
        <v>176756</v>
      </c>
      <c r="T79" s="48"/>
      <c r="U79" s="48">
        <v>0</v>
      </c>
      <c r="V79" s="48"/>
      <c r="W79" s="48">
        <v>0</v>
      </c>
      <c r="X79" s="48"/>
      <c r="Y79" s="48">
        <v>0</v>
      </c>
      <c r="Z79" s="48"/>
      <c r="AA79" s="48">
        <v>0</v>
      </c>
      <c r="AB79" s="48"/>
      <c r="AC79" s="48">
        <v>0</v>
      </c>
      <c r="AD79" s="48"/>
      <c r="AE79" s="48">
        <v>0</v>
      </c>
      <c r="AF79" s="48"/>
      <c r="AG79" s="48">
        <v>0</v>
      </c>
      <c r="AH79" s="19">
        <f t="shared" si="2"/>
        <v>777565</v>
      </c>
      <c r="AI79" s="48">
        <f t="shared" si="3"/>
        <v>777565</v>
      </c>
      <c r="AJ79" s="5"/>
    </row>
    <row r="80" spans="1:39" ht="12" customHeight="1" x14ac:dyDescent="0.2">
      <c r="A80" s="1" t="s">
        <v>372</v>
      </c>
      <c r="C80" s="1" t="s">
        <v>373</v>
      </c>
      <c r="E80" s="48">
        <v>7662.11</v>
      </c>
      <c r="F80" s="48"/>
      <c r="G80" s="48">
        <v>53429.31</v>
      </c>
      <c r="H80" s="48"/>
      <c r="I80" s="48">
        <v>19418.71</v>
      </c>
      <c r="J80" s="48"/>
      <c r="K80" s="48">
        <v>0</v>
      </c>
      <c r="L80" s="48"/>
      <c r="M80" s="48">
        <v>0</v>
      </c>
      <c r="N80" s="48"/>
      <c r="O80" s="48">
        <v>1605</v>
      </c>
      <c r="P80" s="48"/>
      <c r="Q80" s="48">
        <v>170.94</v>
      </c>
      <c r="R80" s="48"/>
      <c r="S80" s="48">
        <v>9571.02</v>
      </c>
      <c r="T80" s="48"/>
      <c r="U80" s="48">
        <v>0</v>
      </c>
      <c r="V80" s="48"/>
      <c r="W80" s="48">
        <v>0</v>
      </c>
      <c r="X80" s="48"/>
      <c r="Y80" s="48">
        <v>0</v>
      </c>
      <c r="Z80" s="48"/>
      <c r="AA80" s="48">
        <v>0</v>
      </c>
      <c r="AB80" s="48"/>
      <c r="AC80" s="48">
        <v>0</v>
      </c>
      <c r="AD80" s="48"/>
      <c r="AE80" s="48">
        <v>0</v>
      </c>
      <c r="AF80" s="48"/>
      <c r="AG80" s="48">
        <v>1031.1400000000001</v>
      </c>
      <c r="AH80" s="19">
        <f t="shared" si="2"/>
        <v>91857.090000000011</v>
      </c>
      <c r="AI80" s="48">
        <f t="shared" si="3"/>
        <v>92888.23000000001</v>
      </c>
      <c r="AJ80" s="5"/>
      <c r="AK80" s="87"/>
      <c r="AL80" s="87"/>
      <c r="AM80" s="87"/>
    </row>
    <row r="81" spans="1:39" ht="12" customHeight="1" x14ac:dyDescent="0.2">
      <c r="A81" s="1" t="s">
        <v>78</v>
      </c>
      <c r="C81" s="1" t="s">
        <v>345</v>
      </c>
      <c r="E81" s="48">
        <v>23784.11</v>
      </c>
      <c r="F81" s="48"/>
      <c r="G81" s="48">
        <v>0</v>
      </c>
      <c r="H81" s="48"/>
      <c r="I81" s="48">
        <v>3914.67</v>
      </c>
      <c r="J81" s="48"/>
      <c r="K81" s="48">
        <v>0</v>
      </c>
      <c r="L81" s="48"/>
      <c r="M81" s="48">
        <v>0</v>
      </c>
      <c r="N81" s="48"/>
      <c r="O81" s="48">
        <v>0</v>
      </c>
      <c r="P81" s="48"/>
      <c r="Q81" s="48">
        <v>15.06</v>
      </c>
      <c r="R81" s="48"/>
      <c r="S81" s="48">
        <v>1009.7</v>
      </c>
      <c r="T81" s="48"/>
      <c r="U81" s="48">
        <v>0</v>
      </c>
      <c r="V81" s="48"/>
      <c r="W81" s="48">
        <v>0</v>
      </c>
      <c r="X81" s="48"/>
      <c r="Y81" s="48">
        <v>0</v>
      </c>
      <c r="Z81" s="48"/>
      <c r="AA81" s="48">
        <v>0</v>
      </c>
      <c r="AB81" s="48"/>
      <c r="AC81" s="48">
        <v>0</v>
      </c>
      <c r="AD81" s="48"/>
      <c r="AE81" s="48">
        <v>0</v>
      </c>
      <c r="AF81" s="48"/>
      <c r="AG81" s="48">
        <v>0</v>
      </c>
      <c r="AH81" s="19">
        <f t="shared" si="2"/>
        <v>28723.54</v>
      </c>
      <c r="AI81" s="48">
        <f t="shared" si="3"/>
        <v>28723.54</v>
      </c>
      <c r="AJ81" s="5"/>
      <c r="AK81" s="67"/>
      <c r="AL81" s="67"/>
      <c r="AM81" s="67"/>
    </row>
    <row r="82" spans="1:39" s="5" customFormat="1" ht="12" customHeight="1" x14ac:dyDescent="0.2">
      <c r="A82" s="1" t="s">
        <v>436</v>
      </c>
      <c r="B82" s="1"/>
      <c r="C82" s="1" t="s">
        <v>781</v>
      </c>
      <c r="D82" s="1"/>
      <c r="E82" s="48">
        <v>24207</v>
      </c>
      <c r="F82" s="48"/>
      <c r="G82" s="48">
        <v>137085</v>
      </c>
      <c r="H82" s="48"/>
      <c r="I82" s="48">
        <v>62783</v>
      </c>
      <c r="J82" s="48"/>
      <c r="K82" s="48">
        <v>0</v>
      </c>
      <c r="L82" s="48"/>
      <c r="M82" s="48">
        <v>0</v>
      </c>
      <c r="N82" s="48"/>
      <c r="O82" s="48">
        <v>19377</v>
      </c>
      <c r="P82" s="48"/>
      <c r="Q82" s="48">
        <v>965</v>
      </c>
      <c r="R82" s="48"/>
      <c r="S82" s="48">
        <v>2462</v>
      </c>
      <c r="T82" s="48"/>
      <c r="U82" s="48">
        <v>0</v>
      </c>
      <c r="V82" s="48"/>
      <c r="W82" s="48">
        <v>0</v>
      </c>
      <c r="X82" s="48"/>
      <c r="Y82" s="48">
        <v>59622</v>
      </c>
      <c r="Z82" s="48"/>
      <c r="AA82" s="48">
        <v>8103</v>
      </c>
      <c r="AB82" s="48"/>
      <c r="AC82" s="48">
        <v>0</v>
      </c>
      <c r="AD82" s="48"/>
      <c r="AE82" s="48">
        <v>0</v>
      </c>
      <c r="AF82" s="48"/>
      <c r="AG82" s="48">
        <v>0</v>
      </c>
      <c r="AH82" s="19">
        <f t="shared" si="2"/>
        <v>314604</v>
      </c>
      <c r="AI82" s="48">
        <f t="shared" si="3"/>
        <v>314604</v>
      </c>
      <c r="AJ82" s="8"/>
      <c r="AK82" s="14"/>
      <c r="AL82" s="14"/>
      <c r="AM82" s="14"/>
    </row>
    <row r="83" spans="1:39" ht="12" customHeight="1" x14ac:dyDescent="0.2">
      <c r="A83" s="1" t="s">
        <v>560</v>
      </c>
      <c r="C83" s="1" t="s">
        <v>558</v>
      </c>
      <c r="E83" s="48">
        <v>31475</v>
      </c>
      <c r="F83" s="48"/>
      <c r="G83" s="48">
        <v>65484</v>
      </c>
      <c r="H83" s="48"/>
      <c r="I83" s="48">
        <v>47314</v>
      </c>
      <c r="J83" s="48"/>
      <c r="K83" s="48">
        <v>1291</v>
      </c>
      <c r="L83" s="48"/>
      <c r="M83" s="48">
        <v>24375</v>
      </c>
      <c r="N83" s="48"/>
      <c r="O83" s="48">
        <v>14699</v>
      </c>
      <c r="P83" s="48"/>
      <c r="Q83" s="48">
        <v>1859</v>
      </c>
      <c r="R83" s="48"/>
      <c r="S83" s="48">
        <v>2283</v>
      </c>
      <c r="T83" s="48"/>
      <c r="U83" s="48">
        <v>0</v>
      </c>
      <c r="V83" s="48"/>
      <c r="W83" s="48">
        <v>0</v>
      </c>
      <c r="X83" s="48"/>
      <c r="Y83" s="48">
        <v>0</v>
      </c>
      <c r="Z83" s="48"/>
      <c r="AA83" s="48">
        <v>0</v>
      </c>
      <c r="AB83" s="48"/>
      <c r="AC83" s="48">
        <v>0</v>
      </c>
      <c r="AD83" s="48"/>
      <c r="AE83" s="48">
        <v>0</v>
      </c>
      <c r="AF83" s="48"/>
      <c r="AG83" s="48">
        <v>0</v>
      </c>
      <c r="AH83" s="19">
        <f t="shared" si="2"/>
        <v>188780</v>
      </c>
      <c r="AI83" s="48">
        <f t="shared" si="3"/>
        <v>188780</v>
      </c>
      <c r="AJ83" s="5"/>
    </row>
    <row r="84" spans="1:39" s="67" customFormat="1" ht="12" customHeight="1" x14ac:dyDescent="0.2">
      <c r="A84" s="1" t="s">
        <v>763</v>
      </c>
      <c r="B84" s="1"/>
      <c r="C84" s="1" t="s">
        <v>241</v>
      </c>
      <c r="D84" s="1"/>
      <c r="E84" s="48">
        <v>38969</v>
      </c>
      <c r="F84" s="48"/>
      <c r="G84" s="48">
        <v>58394</v>
      </c>
      <c r="H84" s="48"/>
      <c r="I84" s="48">
        <v>56648</v>
      </c>
      <c r="J84" s="48"/>
      <c r="K84" s="48">
        <v>0</v>
      </c>
      <c r="L84" s="48"/>
      <c r="M84" s="48">
        <v>0</v>
      </c>
      <c r="N84" s="48"/>
      <c r="O84" s="48">
        <f>24813+19147</f>
        <v>43960</v>
      </c>
      <c r="P84" s="48"/>
      <c r="Q84" s="48">
        <v>8</v>
      </c>
      <c r="R84" s="48"/>
      <c r="S84" s="48">
        <f>950+1375</f>
        <v>2325</v>
      </c>
      <c r="T84" s="48"/>
      <c r="U84" s="48">
        <v>0</v>
      </c>
      <c r="V84" s="48"/>
      <c r="W84" s="48">
        <v>0</v>
      </c>
      <c r="X84" s="48"/>
      <c r="Y84" s="48">
        <v>0</v>
      </c>
      <c r="Z84" s="48"/>
      <c r="AA84" s="48">
        <v>0</v>
      </c>
      <c r="AB84" s="48"/>
      <c r="AC84" s="48">
        <v>0</v>
      </c>
      <c r="AD84" s="48"/>
      <c r="AE84" s="48">
        <v>0</v>
      </c>
      <c r="AF84" s="48"/>
      <c r="AG84" s="48">
        <v>0</v>
      </c>
      <c r="AH84" s="19">
        <f t="shared" si="2"/>
        <v>200304</v>
      </c>
      <c r="AI84" s="48">
        <f t="shared" si="3"/>
        <v>200304</v>
      </c>
      <c r="AJ84" s="5"/>
    </row>
    <row r="85" spans="1:39" ht="12" customHeight="1" x14ac:dyDescent="0.2">
      <c r="A85" s="1" t="s">
        <v>294</v>
      </c>
      <c r="C85" s="1" t="s">
        <v>293</v>
      </c>
      <c r="E85" s="48">
        <v>1061958.01</v>
      </c>
      <c r="F85" s="48"/>
      <c r="G85" s="48">
        <v>1955289.09</v>
      </c>
      <c r="H85" s="48"/>
      <c r="I85" s="48">
        <v>277929.87</v>
      </c>
      <c r="J85" s="48"/>
      <c r="K85" s="48">
        <v>0</v>
      </c>
      <c r="L85" s="48"/>
      <c r="M85" s="48">
        <v>0</v>
      </c>
      <c r="N85" s="48"/>
      <c r="O85" s="48">
        <v>539655.61</v>
      </c>
      <c r="P85" s="48"/>
      <c r="Q85" s="48">
        <v>2338.06</v>
      </c>
      <c r="R85" s="48"/>
      <c r="S85" s="48">
        <v>178139.04</v>
      </c>
      <c r="T85" s="48"/>
      <c r="U85" s="48">
        <v>0</v>
      </c>
      <c r="V85" s="48"/>
      <c r="W85" s="48">
        <v>0</v>
      </c>
      <c r="X85" s="48"/>
      <c r="Y85" s="48">
        <v>0</v>
      </c>
      <c r="Z85" s="48"/>
      <c r="AA85" s="48">
        <v>0</v>
      </c>
      <c r="AB85" s="48"/>
      <c r="AC85" s="48">
        <v>0</v>
      </c>
      <c r="AD85" s="48"/>
      <c r="AE85" s="48">
        <v>0</v>
      </c>
      <c r="AF85" s="48"/>
      <c r="AG85" s="48">
        <v>0</v>
      </c>
      <c r="AH85" s="19">
        <f t="shared" si="2"/>
        <v>4015309.68</v>
      </c>
      <c r="AI85" s="48">
        <f t="shared" si="3"/>
        <v>4015309.68</v>
      </c>
      <c r="AJ85" s="8"/>
      <c r="AK85" s="6"/>
      <c r="AL85" s="6"/>
      <c r="AM85" s="6"/>
    </row>
    <row r="86" spans="1:39" s="67" customFormat="1" ht="12" customHeight="1" x14ac:dyDescent="0.2">
      <c r="A86" s="1" t="s">
        <v>56</v>
      </c>
      <c r="B86" s="1"/>
      <c r="C86" s="1" t="s">
        <v>327</v>
      </c>
      <c r="D86" s="1"/>
      <c r="E86" s="48">
        <v>37398.36</v>
      </c>
      <c r="F86" s="48"/>
      <c r="G86" s="48">
        <v>392495.46</v>
      </c>
      <c r="H86" s="48"/>
      <c r="I86" s="48">
        <v>16187.43</v>
      </c>
      <c r="J86" s="48"/>
      <c r="K86" s="48">
        <v>0</v>
      </c>
      <c r="L86" s="48"/>
      <c r="M86" s="48">
        <v>0</v>
      </c>
      <c r="N86" s="48"/>
      <c r="O86" s="48">
        <v>8084.54</v>
      </c>
      <c r="P86" s="48"/>
      <c r="Q86" s="48">
        <v>588.72</v>
      </c>
      <c r="R86" s="48"/>
      <c r="S86" s="48">
        <v>10885.21</v>
      </c>
      <c r="T86" s="48"/>
      <c r="U86" s="48">
        <v>0</v>
      </c>
      <c r="V86" s="48"/>
      <c r="W86" s="48">
        <v>0</v>
      </c>
      <c r="X86" s="48"/>
      <c r="Y86" s="48">
        <v>0</v>
      </c>
      <c r="Z86" s="48"/>
      <c r="AA86" s="48">
        <v>0</v>
      </c>
      <c r="AB86" s="48"/>
      <c r="AC86" s="48">
        <v>0</v>
      </c>
      <c r="AD86" s="48"/>
      <c r="AE86" s="48">
        <v>0</v>
      </c>
      <c r="AF86" s="48"/>
      <c r="AG86" s="48">
        <v>0</v>
      </c>
      <c r="AH86" s="19">
        <f t="shared" si="2"/>
        <v>465639.72</v>
      </c>
      <c r="AI86" s="48">
        <f t="shared" si="3"/>
        <v>465639.72</v>
      </c>
      <c r="AJ86" s="5"/>
      <c r="AK86" s="1"/>
      <c r="AL86" s="1"/>
      <c r="AM86" s="1"/>
    </row>
    <row r="87" spans="1:39" s="67" customFormat="1" ht="12" customHeight="1" x14ac:dyDescent="0.2">
      <c r="A87" s="1" t="s">
        <v>503</v>
      </c>
      <c r="B87" s="1"/>
      <c r="C87" s="1" t="s">
        <v>502</v>
      </c>
      <c r="D87" s="1"/>
      <c r="E87" s="48">
        <v>65142</v>
      </c>
      <c r="F87" s="48"/>
      <c r="G87" s="48">
        <v>806362</v>
      </c>
      <c r="H87" s="48"/>
      <c r="I87" s="48">
        <v>70208</v>
      </c>
      <c r="J87" s="48"/>
      <c r="K87" s="48">
        <v>6405</v>
      </c>
      <c r="L87" s="48"/>
      <c r="M87" s="48">
        <v>0</v>
      </c>
      <c r="N87" s="48"/>
      <c r="O87" s="48">
        <v>4832</v>
      </c>
      <c r="P87" s="48"/>
      <c r="Q87" s="48">
        <v>11864</v>
      </c>
      <c r="R87" s="48"/>
      <c r="S87" s="48">
        <v>15897</v>
      </c>
      <c r="T87" s="48"/>
      <c r="U87" s="48">
        <v>0</v>
      </c>
      <c r="V87" s="48"/>
      <c r="W87" s="48">
        <v>0</v>
      </c>
      <c r="X87" s="48"/>
      <c r="Y87" s="48">
        <v>0</v>
      </c>
      <c r="Z87" s="48"/>
      <c r="AA87" s="48">
        <v>0</v>
      </c>
      <c r="AB87" s="48"/>
      <c r="AC87" s="48">
        <v>0</v>
      </c>
      <c r="AD87" s="48"/>
      <c r="AE87" s="48">
        <v>185</v>
      </c>
      <c r="AF87" s="48"/>
      <c r="AG87" s="48">
        <v>0</v>
      </c>
      <c r="AH87" s="19">
        <f t="shared" si="2"/>
        <v>980895</v>
      </c>
      <c r="AI87" s="48">
        <f t="shared" si="3"/>
        <v>980895</v>
      </c>
      <c r="AJ87" s="5"/>
      <c r="AK87" s="1"/>
      <c r="AL87" s="1"/>
      <c r="AM87" s="1"/>
    </row>
    <row r="88" spans="1:39" ht="12" customHeight="1" x14ac:dyDescent="0.2">
      <c r="A88" s="1" t="s">
        <v>67</v>
      </c>
      <c r="C88" s="1" t="s">
        <v>329</v>
      </c>
      <c r="E88" s="48">
        <v>8456.6200000000008</v>
      </c>
      <c r="F88" s="48"/>
      <c r="G88" s="48">
        <v>31944.86</v>
      </c>
      <c r="H88" s="48"/>
      <c r="I88" s="48">
        <v>6296.76</v>
      </c>
      <c r="J88" s="48"/>
      <c r="K88" s="48">
        <v>0</v>
      </c>
      <c r="L88" s="48"/>
      <c r="M88" s="48">
        <v>0</v>
      </c>
      <c r="N88" s="48"/>
      <c r="O88" s="48">
        <v>218710.75</v>
      </c>
      <c r="P88" s="48"/>
      <c r="Q88" s="48">
        <v>3.77</v>
      </c>
      <c r="R88" s="48"/>
      <c r="S88" s="48">
        <v>13470.67</v>
      </c>
      <c r="T88" s="48"/>
      <c r="U88" s="48">
        <v>0</v>
      </c>
      <c r="V88" s="48"/>
      <c r="W88" s="48">
        <v>0</v>
      </c>
      <c r="X88" s="48"/>
      <c r="Y88" s="48">
        <v>0</v>
      </c>
      <c r="Z88" s="48"/>
      <c r="AA88" s="48">
        <v>0</v>
      </c>
      <c r="AB88" s="48"/>
      <c r="AC88" s="48">
        <v>15597.98</v>
      </c>
      <c r="AD88" s="48"/>
      <c r="AE88" s="48">
        <v>1733.42</v>
      </c>
      <c r="AF88" s="48"/>
      <c r="AG88" s="48">
        <v>0</v>
      </c>
      <c r="AH88" s="19">
        <f t="shared" si="2"/>
        <v>296214.82999999996</v>
      </c>
      <c r="AI88" s="48">
        <f t="shared" si="3"/>
        <v>296214.82999999996</v>
      </c>
      <c r="AJ88" s="5"/>
      <c r="AK88" s="87"/>
      <c r="AL88" s="87"/>
      <c r="AM88" s="87"/>
    </row>
    <row r="89" spans="1:39" ht="12" customHeight="1" x14ac:dyDescent="0.2">
      <c r="A89" s="1" t="s">
        <v>263</v>
      </c>
      <c r="C89" s="1" t="s">
        <v>261</v>
      </c>
      <c r="E89" s="48">
        <v>132355.4</v>
      </c>
      <c r="F89" s="48"/>
      <c r="G89" s="48">
        <v>0</v>
      </c>
      <c r="H89" s="48"/>
      <c r="I89" s="48">
        <v>68555.429999999993</v>
      </c>
      <c r="J89" s="48"/>
      <c r="K89" s="48">
        <v>28713.4</v>
      </c>
      <c r="L89" s="48"/>
      <c r="M89" s="48">
        <v>212241.1</v>
      </c>
      <c r="N89" s="48"/>
      <c r="O89" s="48">
        <v>130225.08</v>
      </c>
      <c r="P89" s="48"/>
      <c r="Q89" s="48">
        <v>75.56</v>
      </c>
      <c r="R89" s="48"/>
      <c r="S89" s="48">
        <v>37640.839999999997</v>
      </c>
      <c r="T89" s="48"/>
      <c r="U89" s="48">
        <v>0</v>
      </c>
      <c r="V89" s="48"/>
      <c r="W89" s="48">
        <v>0</v>
      </c>
      <c r="X89" s="48"/>
      <c r="Y89" s="48">
        <v>0</v>
      </c>
      <c r="Z89" s="48"/>
      <c r="AA89" s="48">
        <v>0</v>
      </c>
      <c r="AB89" s="48"/>
      <c r="AC89" s="48">
        <v>29334.82</v>
      </c>
      <c r="AD89" s="48"/>
      <c r="AE89" s="48">
        <v>18938.41</v>
      </c>
      <c r="AF89" s="48"/>
      <c r="AG89" s="48">
        <v>0</v>
      </c>
      <c r="AH89" s="19">
        <f t="shared" ref="AH89:AH124" si="4">SUM(D89:AF89)</f>
        <v>658080.03999999992</v>
      </c>
      <c r="AI89" s="48">
        <f t="shared" ref="AI89:AI125" si="5">SUM(E89:AG89)</f>
        <v>658080.03999999992</v>
      </c>
      <c r="AJ89" s="5"/>
    </row>
    <row r="90" spans="1:39" ht="12" customHeight="1" x14ac:dyDescent="0.2">
      <c r="A90" s="1" t="s">
        <v>295</v>
      </c>
      <c r="C90" s="1" t="s">
        <v>293</v>
      </c>
      <c r="E90" s="48">
        <f>304048+37115</f>
        <v>341163</v>
      </c>
      <c r="F90" s="48"/>
      <c r="G90" s="48">
        <v>4611951</v>
      </c>
      <c r="H90" s="48"/>
      <c r="I90" s="48">
        <v>53423</v>
      </c>
      <c r="J90" s="48"/>
      <c r="K90" s="48">
        <v>0</v>
      </c>
      <c r="L90" s="48"/>
      <c r="M90" s="48">
        <v>98199</v>
      </c>
      <c r="N90" s="48"/>
      <c r="O90" s="48">
        <v>130638</v>
      </c>
      <c r="P90" s="48"/>
      <c r="Q90" s="48">
        <v>6422</v>
      </c>
      <c r="R90" s="48"/>
      <c r="S90" s="48">
        <f>6116+12254</f>
        <v>18370</v>
      </c>
      <c r="T90" s="48"/>
      <c r="U90" s="48">
        <v>0</v>
      </c>
      <c r="V90" s="48"/>
      <c r="W90" s="48">
        <v>0</v>
      </c>
      <c r="X90" s="48"/>
      <c r="Y90" s="48">
        <v>0</v>
      </c>
      <c r="Z90" s="48"/>
      <c r="AA90" s="48">
        <v>0</v>
      </c>
      <c r="AB90" s="48"/>
      <c r="AC90" s="48">
        <v>0</v>
      </c>
      <c r="AD90" s="48"/>
      <c r="AE90" s="48">
        <v>63939</v>
      </c>
      <c r="AF90" s="48"/>
      <c r="AG90" s="48">
        <v>0</v>
      </c>
      <c r="AH90" s="19">
        <f t="shared" si="4"/>
        <v>5324105</v>
      </c>
      <c r="AI90" s="48">
        <f t="shared" si="5"/>
        <v>5324105</v>
      </c>
      <c r="AJ90" s="5"/>
    </row>
    <row r="91" spans="1:39" s="67" customFormat="1" ht="12" customHeight="1" x14ac:dyDescent="0.2">
      <c r="A91" s="1" t="s">
        <v>16</v>
      </c>
      <c r="B91" s="1"/>
      <c r="C91" s="1" t="s">
        <v>261</v>
      </c>
      <c r="D91" s="1"/>
      <c r="E91" s="48">
        <v>44883.27</v>
      </c>
      <c r="F91" s="48"/>
      <c r="G91" s="48">
        <v>0</v>
      </c>
      <c r="H91" s="48"/>
      <c r="I91" s="48">
        <v>31747.86</v>
      </c>
      <c r="J91" s="48"/>
      <c r="K91" s="48">
        <v>0</v>
      </c>
      <c r="L91" s="48"/>
      <c r="M91" s="48">
        <v>7105.12</v>
      </c>
      <c r="N91" s="48"/>
      <c r="O91" s="48">
        <v>3014</v>
      </c>
      <c r="P91" s="48"/>
      <c r="Q91" s="48">
        <v>14.01</v>
      </c>
      <c r="R91" s="48"/>
      <c r="S91" s="48">
        <v>2391.71</v>
      </c>
      <c r="T91" s="48"/>
      <c r="U91" s="48">
        <v>0</v>
      </c>
      <c r="V91" s="48"/>
      <c r="W91" s="48">
        <v>0</v>
      </c>
      <c r="X91" s="48"/>
      <c r="Y91" s="48">
        <v>0</v>
      </c>
      <c r="Z91" s="48"/>
      <c r="AA91" s="48">
        <v>0</v>
      </c>
      <c r="AB91" s="48"/>
      <c r="AC91" s="48">
        <v>0</v>
      </c>
      <c r="AD91" s="48"/>
      <c r="AE91" s="48">
        <v>0</v>
      </c>
      <c r="AF91" s="48"/>
      <c r="AG91" s="48">
        <v>0</v>
      </c>
      <c r="AH91" s="19">
        <f t="shared" si="4"/>
        <v>89155.97</v>
      </c>
      <c r="AI91" s="48">
        <f t="shared" si="5"/>
        <v>89155.97</v>
      </c>
      <c r="AJ91" s="5"/>
      <c r="AK91" s="1"/>
      <c r="AL91" s="1"/>
      <c r="AM91" s="1"/>
    </row>
    <row r="92" spans="1:39" s="67" customFormat="1" ht="12" customHeight="1" x14ac:dyDescent="0.2">
      <c r="A92" s="1" t="s">
        <v>461</v>
      </c>
      <c r="B92" s="1"/>
      <c r="C92" s="1" t="s">
        <v>460</v>
      </c>
      <c r="D92" s="1"/>
      <c r="E92" s="48">
        <v>3531.88</v>
      </c>
      <c r="F92" s="48"/>
      <c r="G92" s="48">
        <v>0</v>
      </c>
      <c r="H92" s="48"/>
      <c r="I92" s="48">
        <v>7263.66</v>
      </c>
      <c r="J92" s="48"/>
      <c r="K92" s="48">
        <v>0</v>
      </c>
      <c r="L92" s="48"/>
      <c r="M92" s="48">
        <v>0</v>
      </c>
      <c r="N92" s="48"/>
      <c r="O92" s="48">
        <v>0</v>
      </c>
      <c r="P92" s="48"/>
      <c r="Q92" s="48">
        <v>6.97</v>
      </c>
      <c r="R92" s="48"/>
      <c r="S92" s="48">
        <v>340.2</v>
      </c>
      <c r="T92" s="48"/>
      <c r="U92" s="48">
        <v>0</v>
      </c>
      <c r="V92" s="48"/>
      <c r="W92" s="48">
        <v>0</v>
      </c>
      <c r="X92" s="48"/>
      <c r="Y92" s="48">
        <v>0</v>
      </c>
      <c r="Z92" s="48"/>
      <c r="AA92" s="48">
        <v>0</v>
      </c>
      <c r="AB92" s="48"/>
      <c r="AC92" s="48">
        <v>0</v>
      </c>
      <c r="AD92" s="48"/>
      <c r="AE92" s="48">
        <v>0</v>
      </c>
      <c r="AF92" s="48"/>
      <c r="AG92" s="48">
        <v>0</v>
      </c>
      <c r="AH92" s="19">
        <f t="shared" si="4"/>
        <v>11142.710000000001</v>
      </c>
      <c r="AI92" s="48">
        <f t="shared" si="5"/>
        <v>11142.710000000001</v>
      </c>
      <c r="AJ92" s="8"/>
      <c r="AK92" s="6"/>
      <c r="AL92" s="6"/>
      <c r="AM92" s="6"/>
    </row>
    <row r="93" spans="1:39" ht="12" customHeight="1" x14ac:dyDescent="0.2">
      <c r="A93" s="1" t="s">
        <v>254</v>
      </c>
      <c r="C93" s="1" t="s">
        <v>253</v>
      </c>
      <c r="E93" s="48">
        <v>55325</v>
      </c>
      <c r="F93" s="48"/>
      <c r="G93" s="48">
        <v>0</v>
      </c>
      <c r="H93" s="48"/>
      <c r="I93" s="48">
        <v>17194</v>
      </c>
      <c r="J93" s="48"/>
      <c r="K93" s="48">
        <v>0</v>
      </c>
      <c r="L93" s="48"/>
      <c r="M93" s="48">
        <v>0</v>
      </c>
      <c r="N93" s="48"/>
      <c r="O93" s="48">
        <v>15804</v>
      </c>
      <c r="P93" s="48"/>
      <c r="Q93" s="48">
        <v>145</v>
      </c>
      <c r="R93" s="48"/>
      <c r="S93" s="48">
        <v>1305</v>
      </c>
      <c r="T93" s="48"/>
      <c r="U93" s="48">
        <v>0</v>
      </c>
      <c r="V93" s="48"/>
      <c r="W93" s="48">
        <v>0</v>
      </c>
      <c r="X93" s="48"/>
      <c r="Y93" s="48">
        <v>0</v>
      </c>
      <c r="Z93" s="48"/>
      <c r="AA93" s="48">
        <v>0</v>
      </c>
      <c r="AB93" s="48"/>
      <c r="AC93" s="48">
        <v>0</v>
      </c>
      <c r="AD93" s="48"/>
      <c r="AE93" s="48">
        <v>0</v>
      </c>
      <c r="AF93" s="48"/>
      <c r="AG93" s="48">
        <v>0</v>
      </c>
      <c r="AH93" s="19">
        <f t="shared" si="4"/>
        <v>89773</v>
      </c>
      <c r="AI93" s="48">
        <f t="shared" si="5"/>
        <v>89773</v>
      </c>
      <c r="AJ93" s="5"/>
      <c r="AK93" s="67"/>
      <c r="AL93" s="67"/>
      <c r="AM93" s="67"/>
    </row>
    <row r="94" spans="1:39" s="14" customFormat="1" ht="12" customHeight="1" x14ac:dyDescent="0.2">
      <c r="A94" s="1" t="s">
        <v>122</v>
      </c>
      <c r="B94" s="1"/>
      <c r="C94" s="1" t="s">
        <v>408</v>
      </c>
      <c r="D94" s="1"/>
      <c r="E94" s="48">
        <v>121719.77</v>
      </c>
      <c r="F94" s="48"/>
      <c r="G94" s="48">
        <v>0</v>
      </c>
      <c r="H94" s="48"/>
      <c r="I94" s="48">
        <v>66230.63</v>
      </c>
      <c r="J94" s="48"/>
      <c r="K94" s="48">
        <v>0</v>
      </c>
      <c r="L94" s="48"/>
      <c r="M94" s="48">
        <v>18698.759999999998</v>
      </c>
      <c r="N94" s="48"/>
      <c r="O94" s="48">
        <v>116928.28</v>
      </c>
      <c r="P94" s="48"/>
      <c r="Q94" s="48">
        <v>1294.21</v>
      </c>
      <c r="R94" s="48"/>
      <c r="S94" s="48">
        <v>29209.53</v>
      </c>
      <c r="T94" s="48"/>
      <c r="U94" s="48">
        <v>0</v>
      </c>
      <c r="V94" s="48"/>
      <c r="W94" s="48">
        <v>0</v>
      </c>
      <c r="X94" s="48"/>
      <c r="Y94" s="48">
        <v>0</v>
      </c>
      <c r="Z94" s="48"/>
      <c r="AA94" s="48">
        <v>0</v>
      </c>
      <c r="AB94" s="48"/>
      <c r="AC94" s="48">
        <v>0</v>
      </c>
      <c r="AD94" s="48"/>
      <c r="AE94" s="48">
        <v>0</v>
      </c>
      <c r="AF94" s="48"/>
      <c r="AG94" s="48">
        <v>277</v>
      </c>
      <c r="AH94" s="19">
        <f t="shared" si="4"/>
        <v>354081.18000000005</v>
      </c>
      <c r="AI94" s="48">
        <f t="shared" si="5"/>
        <v>354358.18000000005</v>
      </c>
      <c r="AJ94" s="5"/>
      <c r="AK94" s="67"/>
      <c r="AL94" s="67"/>
      <c r="AM94" s="67"/>
    </row>
    <row r="95" spans="1:39" ht="12" customHeight="1" x14ac:dyDescent="0.2">
      <c r="A95" s="1" t="s">
        <v>11</v>
      </c>
      <c r="C95" s="1" t="s">
        <v>257</v>
      </c>
      <c r="E95" s="48">
        <v>4511.26</v>
      </c>
      <c r="F95" s="48"/>
      <c r="G95" s="48">
        <v>0</v>
      </c>
      <c r="H95" s="48"/>
      <c r="I95" s="48">
        <v>33732.620000000003</v>
      </c>
      <c r="J95" s="48"/>
      <c r="K95" s="48">
        <v>0</v>
      </c>
      <c r="L95" s="48"/>
      <c r="M95" s="48">
        <v>0</v>
      </c>
      <c r="N95" s="48"/>
      <c r="O95" s="48">
        <v>1838.71</v>
      </c>
      <c r="P95" s="48"/>
      <c r="Q95" s="48">
        <v>56.68</v>
      </c>
      <c r="R95" s="48"/>
      <c r="S95" s="48">
        <v>130</v>
      </c>
      <c r="T95" s="48"/>
      <c r="U95" s="48">
        <v>0</v>
      </c>
      <c r="V95" s="48"/>
      <c r="W95" s="48">
        <v>0</v>
      </c>
      <c r="X95" s="48"/>
      <c r="Y95" s="48">
        <v>0</v>
      </c>
      <c r="Z95" s="48"/>
      <c r="AA95" s="48">
        <v>0</v>
      </c>
      <c r="AB95" s="48"/>
      <c r="AC95" s="48">
        <v>0</v>
      </c>
      <c r="AD95" s="48"/>
      <c r="AE95" s="48">
        <v>0</v>
      </c>
      <c r="AF95" s="48"/>
      <c r="AG95" s="48">
        <v>0</v>
      </c>
      <c r="AH95" s="19">
        <f t="shared" si="4"/>
        <v>40269.270000000004</v>
      </c>
      <c r="AI95" s="48">
        <f t="shared" si="5"/>
        <v>40269.270000000004</v>
      </c>
      <c r="AJ95" s="5"/>
    </row>
    <row r="96" spans="1:39" ht="12" customHeight="1" x14ac:dyDescent="0.2">
      <c r="A96" s="1" t="s">
        <v>231</v>
      </c>
      <c r="C96" s="1" t="s">
        <v>547</v>
      </c>
      <c r="E96" s="48">
        <v>41160.75</v>
      </c>
      <c r="F96" s="48"/>
      <c r="G96" s="48">
        <v>0</v>
      </c>
      <c r="H96" s="48"/>
      <c r="I96" s="48">
        <v>13431.42</v>
      </c>
      <c r="J96" s="48"/>
      <c r="K96" s="48">
        <v>0</v>
      </c>
      <c r="L96" s="48"/>
      <c r="M96" s="48">
        <v>0</v>
      </c>
      <c r="N96" s="48"/>
      <c r="O96" s="48">
        <v>300</v>
      </c>
      <c r="P96" s="48"/>
      <c r="Q96" s="48">
        <v>100.28</v>
      </c>
      <c r="R96" s="48"/>
      <c r="S96" s="48">
        <v>702.75</v>
      </c>
      <c r="T96" s="48"/>
      <c r="U96" s="48">
        <v>0</v>
      </c>
      <c r="V96" s="48"/>
      <c r="W96" s="48">
        <v>0</v>
      </c>
      <c r="X96" s="48"/>
      <c r="Y96" s="48">
        <v>0</v>
      </c>
      <c r="Z96" s="48"/>
      <c r="AA96" s="48">
        <v>0</v>
      </c>
      <c r="AB96" s="48"/>
      <c r="AC96" s="48">
        <v>0</v>
      </c>
      <c r="AD96" s="48"/>
      <c r="AE96" s="48">
        <v>250</v>
      </c>
      <c r="AF96" s="48"/>
      <c r="AG96" s="48">
        <v>0</v>
      </c>
      <c r="AH96" s="19">
        <f t="shared" si="4"/>
        <v>55945.2</v>
      </c>
      <c r="AI96" s="48">
        <f t="shared" si="5"/>
        <v>55945.2</v>
      </c>
      <c r="AJ96" s="17"/>
    </row>
    <row r="97" spans="1:39" s="6" customFormat="1" ht="12" customHeight="1" x14ac:dyDescent="0.2">
      <c r="A97" s="1" t="s">
        <v>486</v>
      </c>
      <c r="B97" s="1"/>
      <c r="C97" s="1" t="s">
        <v>487</v>
      </c>
      <c r="D97" s="1"/>
      <c r="E97" s="48">
        <v>27595.49</v>
      </c>
      <c r="F97" s="48"/>
      <c r="G97" s="48">
        <v>0</v>
      </c>
      <c r="H97" s="48"/>
      <c r="I97" s="48">
        <v>5225.0600000000004</v>
      </c>
      <c r="J97" s="48"/>
      <c r="K97" s="48">
        <v>0</v>
      </c>
      <c r="L97" s="48"/>
      <c r="M97" s="48">
        <v>0</v>
      </c>
      <c r="N97" s="48"/>
      <c r="O97" s="48">
        <v>799.01</v>
      </c>
      <c r="P97" s="48"/>
      <c r="Q97" s="48">
        <v>169.68</v>
      </c>
      <c r="R97" s="48"/>
      <c r="S97" s="48">
        <v>0</v>
      </c>
      <c r="T97" s="48"/>
      <c r="U97" s="48">
        <v>0</v>
      </c>
      <c r="V97" s="48"/>
      <c r="W97" s="48">
        <v>0</v>
      </c>
      <c r="X97" s="48"/>
      <c r="Y97" s="48">
        <v>0</v>
      </c>
      <c r="Z97" s="48"/>
      <c r="AA97" s="48">
        <v>0</v>
      </c>
      <c r="AB97" s="48"/>
      <c r="AC97" s="48">
        <v>0</v>
      </c>
      <c r="AD97" s="48"/>
      <c r="AE97" s="48">
        <v>135.9</v>
      </c>
      <c r="AF97" s="48"/>
      <c r="AG97" s="48">
        <v>0</v>
      </c>
      <c r="AH97" s="19">
        <f t="shared" si="4"/>
        <v>33925.140000000007</v>
      </c>
      <c r="AI97" s="48">
        <f t="shared" si="5"/>
        <v>33925.140000000007</v>
      </c>
      <c r="AJ97" s="5"/>
      <c r="AK97" s="5"/>
      <c r="AL97" s="5"/>
      <c r="AM97" s="5"/>
    </row>
    <row r="98" spans="1:39" s="67" customFormat="1" ht="12" customHeight="1" x14ac:dyDescent="0.2">
      <c r="A98" s="1" t="s">
        <v>432</v>
      </c>
      <c r="B98" s="1"/>
      <c r="C98" s="1" t="s">
        <v>647</v>
      </c>
      <c r="D98" s="1"/>
      <c r="E98" s="48">
        <v>32978</v>
      </c>
      <c r="F98" s="48"/>
      <c r="G98" s="48">
        <v>0</v>
      </c>
      <c r="H98" s="48"/>
      <c r="I98" s="48">
        <v>13116</v>
      </c>
      <c r="J98" s="48"/>
      <c r="K98" s="48">
        <v>27899</v>
      </c>
      <c r="L98" s="48"/>
      <c r="M98" s="48">
        <v>0</v>
      </c>
      <c r="N98" s="48"/>
      <c r="O98" s="48">
        <v>0</v>
      </c>
      <c r="P98" s="48"/>
      <c r="Q98" s="48">
        <v>0</v>
      </c>
      <c r="R98" s="48"/>
      <c r="S98" s="48">
        <v>12928</v>
      </c>
      <c r="T98" s="48"/>
      <c r="U98" s="48">
        <v>0</v>
      </c>
      <c r="V98" s="48"/>
      <c r="W98" s="48">
        <v>0</v>
      </c>
      <c r="X98" s="48"/>
      <c r="Y98" s="48">
        <v>0</v>
      </c>
      <c r="Z98" s="48"/>
      <c r="AA98" s="48">
        <v>0</v>
      </c>
      <c r="AB98" s="48"/>
      <c r="AC98" s="48">
        <v>0</v>
      </c>
      <c r="AD98" s="48"/>
      <c r="AE98" s="48">
        <v>0</v>
      </c>
      <c r="AF98" s="48"/>
      <c r="AG98" s="48">
        <v>0</v>
      </c>
      <c r="AH98" s="19">
        <f t="shared" si="4"/>
        <v>86921</v>
      </c>
      <c r="AI98" s="48">
        <f t="shared" si="5"/>
        <v>86921</v>
      </c>
      <c r="AJ98" s="5"/>
      <c r="AK98" s="1"/>
      <c r="AL98" s="1"/>
      <c r="AM98" s="1"/>
    </row>
    <row r="99" spans="1:39" ht="12" customHeight="1" x14ac:dyDescent="0.2">
      <c r="A99" s="1" t="s">
        <v>634</v>
      </c>
      <c r="C99" s="1" t="s">
        <v>342</v>
      </c>
      <c r="E99" s="48">
        <v>72458</v>
      </c>
      <c r="F99" s="48"/>
      <c r="G99" s="48">
        <v>471318</v>
      </c>
      <c r="H99" s="48"/>
      <c r="I99" s="48">
        <v>86033</v>
      </c>
      <c r="J99" s="48"/>
      <c r="K99" s="48">
        <v>0</v>
      </c>
      <c r="L99" s="48"/>
      <c r="M99" s="48">
        <v>14715</v>
      </c>
      <c r="N99" s="48"/>
      <c r="O99" s="48">
        <v>20712</v>
      </c>
      <c r="P99" s="48"/>
      <c r="Q99" s="48">
        <v>10946</v>
      </c>
      <c r="R99" s="48"/>
      <c r="S99" s="48">
        <v>7143</v>
      </c>
      <c r="T99" s="48"/>
      <c r="U99" s="48">
        <v>0</v>
      </c>
      <c r="V99" s="48"/>
      <c r="W99" s="48">
        <v>0</v>
      </c>
      <c r="X99" s="48"/>
      <c r="Y99" s="48">
        <v>11455</v>
      </c>
      <c r="Z99" s="48"/>
      <c r="AA99" s="48">
        <v>0</v>
      </c>
      <c r="AB99" s="48"/>
      <c r="AC99" s="48">
        <v>244126</v>
      </c>
      <c r="AD99" s="48"/>
      <c r="AE99" s="48">
        <v>0</v>
      </c>
      <c r="AF99" s="48"/>
      <c r="AG99" s="48">
        <v>0</v>
      </c>
      <c r="AH99" s="19">
        <f t="shared" si="4"/>
        <v>938906</v>
      </c>
      <c r="AI99" s="48">
        <f t="shared" si="5"/>
        <v>938906</v>
      </c>
      <c r="AJ99" s="5"/>
    </row>
    <row r="100" spans="1:39" s="67" customFormat="1" ht="12" customHeight="1" x14ac:dyDescent="0.2">
      <c r="A100" s="6" t="s">
        <v>480</v>
      </c>
      <c r="B100" s="6"/>
      <c r="C100" s="6" t="s">
        <v>481</v>
      </c>
      <c r="D100" s="6"/>
      <c r="E100" s="48">
        <v>131789</v>
      </c>
      <c r="F100" s="48"/>
      <c r="G100" s="48">
        <v>115440</v>
      </c>
      <c r="H100" s="48"/>
      <c r="I100" s="48">
        <v>43300</v>
      </c>
      <c r="J100" s="48"/>
      <c r="K100" s="48">
        <v>0</v>
      </c>
      <c r="L100" s="48"/>
      <c r="M100" s="48">
        <v>239919</v>
      </c>
      <c r="N100" s="48"/>
      <c r="O100" s="48">
        <v>6072</v>
      </c>
      <c r="P100" s="48"/>
      <c r="Q100" s="48">
        <v>0</v>
      </c>
      <c r="R100" s="48"/>
      <c r="S100" s="48">
        <v>16092</v>
      </c>
      <c r="T100" s="48"/>
      <c r="U100" s="48">
        <v>0</v>
      </c>
      <c r="V100" s="48"/>
      <c r="W100" s="48">
        <v>0</v>
      </c>
      <c r="X100" s="48"/>
      <c r="Y100" s="48">
        <v>0</v>
      </c>
      <c r="Z100" s="48"/>
      <c r="AA100" s="48">
        <v>0</v>
      </c>
      <c r="AB100" s="48"/>
      <c r="AC100" s="48">
        <v>0</v>
      </c>
      <c r="AD100" s="48"/>
      <c r="AE100" s="48">
        <v>0</v>
      </c>
      <c r="AF100" s="48"/>
      <c r="AG100" s="48">
        <v>0</v>
      </c>
      <c r="AH100" s="19">
        <f t="shared" si="4"/>
        <v>552612</v>
      </c>
      <c r="AI100" s="48">
        <f t="shared" si="5"/>
        <v>552612</v>
      </c>
      <c r="AJ100" s="5"/>
      <c r="AK100" s="1"/>
      <c r="AL100" s="1"/>
      <c r="AM100" s="1"/>
    </row>
    <row r="101" spans="1:39" s="6" customFormat="1" ht="12" customHeight="1" x14ac:dyDescent="0.2">
      <c r="A101" s="1" t="s">
        <v>81</v>
      </c>
      <c r="B101" s="1"/>
      <c r="C101" s="1" t="s">
        <v>349</v>
      </c>
      <c r="D101" s="1"/>
      <c r="E101" s="48">
        <v>101313.09</v>
      </c>
      <c r="F101" s="48"/>
      <c r="G101" s="48">
        <v>333273.82</v>
      </c>
      <c r="H101" s="48"/>
      <c r="I101" s="48">
        <v>67054.73</v>
      </c>
      <c r="J101" s="48"/>
      <c r="K101" s="48">
        <v>196.02</v>
      </c>
      <c r="L101" s="48"/>
      <c r="M101" s="48">
        <v>0</v>
      </c>
      <c r="N101" s="48"/>
      <c r="O101" s="48">
        <v>1834</v>
      </c>
      <c r="P101" s="48"/>
      <c r="Q101" s="48">
        <v>1544.21</v>
      </c>
      <c r="R101" s="48"/>
      <c r="S101" s="48">
        <v>26250.93</v>
      </c>
      <c r="T101" s="48"/>
      <c r="U101" s="48">
        <v>0</v>
      </c>
      <c r="V101" s="48"/>
      <c r="W101" s="48">
        <v>0</v>
      </c>
      <c r="X101" s="48"/>
      <c r="Y101" s="48">
        <v>0</v>
      </c>
      <c r="Z101" s="48"/>
      <c r="AA101" s="48">
        <v>0</v>
      </c>
      <c r="AB101" s="48"/>
      <c r="AC101" s="48">
        <v>0</v>
      </c>
      <c r="AD101" s="48"/>
      <c r="AE101" s="48">
        <v>0</v>
      </c>
      <c r="AF101" s="48"/>
      <c r="AG101" s="48">
        <v>0</v>
      </c>
      <c r="AH101" s="19">
        <f t="shared" si="4"/>
        <v>531466.80000000005</v>
      </c>
      <c r="AI101" s="48">
        <f t="shared" si="5"/>
        <v>531466.80000000005</v>
      </c>
      <c r="AJ101" s="5"/>
      <c r="AK101" s="67"/>
      <c r="AL101" s="67"/>
      <c r="AM101" s="67"/>
    </row>
    <row r="102" spans="1:39" s="6" customFormat="1" ht="12" customHeight="1" x14ac:dyDescent="0.2">
      <c r="A102" s="1" t="s">
        <v>95</v>
      </c>
      <c r="B102" s="1"/>
      <c r="C102" s="1" t="s">
        <v>373</v>
      </c>
      <c r="D102" s="1"/>
      <c r="E102" s="48">
        <v>104652</v>
      </c>
      <c r="F102" s="48"/>
      <c r="G102" s="48">
        <v>1063049</v>
      </c>
      <c r="H102" s="48"/>
      <c r="I102" s="48">
        <v>34286</v>
      </c>
      <c r="J102" s="48"/>
      <c r="K102" s="48">
        <v>0</v>
      </c>
      <c r="L102" s="48"/>
      <c r="M102" s="48">
        <v>303331</v>
      </c>
      <c r="N102" s="48"/>
      <c r="O102" s="48">
        <v>73030</v>
      </c>
      <c r="P102" s="48"/>
      <c r="Q102" s="48">
        <v>1270</v>
      </c>
      <c r="R102" s="48"/>
      <c r="S102" s="48">
        <v>41461</v>
      </c>
      <c r="T102" s="48"/>
      <c r="U102" s="48">
        <v>0</v>
      </c>
      <c r="V102" s="48"/>
      <c r="W102" s="48">
        <v>0</v>
      </c>
      <c r="X102" s="48"/>
      <c r="Y102" s="48">
        <v>0</v>
      </c>
      <c r="Z102" s="48"/>
      <c r="AA102" s="48">
        <v>0</v>
      </c>
      <c r="AB102" s="48"/>
      <c r="AC102" s="48">
        <v>0</v>
      </c>
      <c r="AD102" s="48"/>
      <c r="AE102" s="48">
        <v>185896</v>
      </c>
      <c r="AF102" s="48"/>
      <c r="AG102" s="48">
        <v>0</v>
      </c>
      <c r="AH102" s="19">
        <f t="shared" si="4"/>
        <v>1806975</v>
      </c>
      <c r="AI102" s="48">
        <f t="shared" si="5"/>
        <v>1806975</v>
      </c>
      <c r="AJ102" s="5"/>
      <c r="AK102" s="67"/>
      <c r="AL102" s="67"/>
      <c r="AM102" s="67"/>
    </row>
    <row r="103" spans="1:39" s="67" customFormat="1" ht="12" customHeight="1" x14ac:dyDescent="0.2">
      <c r="A103" s="1" t="s">
        <v>95</v>
      </c>
      <c r="B103" s="1"/>
      <c r="C103" s="1" t="s">
        <v>373</v>
      </c>
      <c r="D103" s="1"/>
      <c r="E103" s="48">
        <v>104651.74</v>
      </c>
      <c r="F103" s="48"/>
      <c r="G103" s="48">
        <v>1063048.55</v>
      </c>
      <c r="H103" s="48"/>
      <c r="I103" s="48">
        <v>34286.03</v>
      </c>
      <c r="J103" s="48"/>
      <c r="K103" s="48">
        <v>0</v>
      </c>
      <c r="L103" s="48"/>
      <c r="M103" s="48">
        <v>303331.49</v>
      </c>
      <c r="N103" s="48"/>
      <c r="O103" s="48">
        <v>73029.7</v>
      </c>
      <c r="P103" s="48"/>
      <c r="Q103" s="48">
        <v>1269.82</v>
      </c>
      <c r="R103" s="48"/>
      <c r="S103" s="48">
        <v>41461.31</v>
      </c>
      <c r="T103" s="48"/>
      <c r="U103" s="48">
        <v>0</v>
      </c>
      <c r="V103" s="48"/>
      <c r="W103" s="48">
        <v>0</v>
      </c>
      <c r="X103" s="48"/>
      <c r="Y103" s="48">
        <v>0</v>
      </c>
      <c r="Z103" s="48"/>
      <c r="AA103" s="48">
        <v>0</v>
      </c>
      <c r="AB103" s="48"/>
      <c r="AC103" s="48">
        <v>0</v>
      </c>
      <c r="AD103" s="48"/>
      <c r="AE103" s="48">
        <v>185896.15</v>
      </c>
      <c r="AF103" s="48"/>
      <c r="AG103" s="48">
        <v>0</v>
      </c>
      <c r="AH103" s="19">
        <f t="shared" si="4"/>
        <v>1806974.79</v>
      </c>
      <c r="AI103" s="48">
        <f t="shared" si="5"/>
        <v>1806974.79</v>
      </c>
      <c r="AJ103" s="5"/>
    </row>
    <row r="104" spans="1:39" s="67" customFormat="1" ht="12" customHeight="1" x14ac:dyDescent="0.2">
      <c r="A104" s="1" t="s">
        <v>650</v>
      </c>
      <c r="B104" s="1"/>
      <c r="C104" s="1" t="s">
        <v>651</v>
      </c>
      <c r="D104" s="1"/>
      <c r="E104" s="48">
        <v>47117.08</v>
      </c>
      <c r="F104" s="48"/>
      <c r="G104" s="48">
        <v>41514.629999999997</v>
      </c>
      <c r="H104" s="48"/>
      <c r="I104" s="48">
        <v>14532.45</v>
      </c>
      <c r="J104" s="48"/>
      <c r="K104" s="48">
        <v>0</v>
      </c>
      <c r="L104" s="48"/>
      <c r="M104" s="48">
        <v>6765</v>
      </c>
      <c r="N104" s="48"/>
      <c r="O104" s="48">
        <v>1482.13</v>
      </c>
      <c r="P104" s="48"/>
      <c r="Q104" s="48">
        <v>36.619999999999997</v>
      </c>
      <c r="R104" s="48"/>
      <c r="S104" s="48">
        <v>26536.05</v>
      </c>
      <c r="T104" s="48"/>
      <c r="U104" s="48">
        <v>0</v>
      </c>
      <c r="V104" s="48"/>
      <c r="W104" s="48">
        <v>0</v>
      </c>
      <c r="X104" s="48"/>
      <c r="Y104" s="48">
        <v>0</v>
      </c>
      <c r="Z104" s="48"/>
      <c r="AA104" s="48">
        <v>0</v>
      </c>
      <c r="AB104" s="48"/>
      <c r="AC104" s="48">
        <v>0</v>
      </c>
      <c r="AD104" s="48"/>
      <c r="AE104" s="48">
        <v>0</v>
      </c>
      <c r="AF104" s="48"/>
      <c r="AG104" s="48">
        <v>0</v>
      </c>
      <c r="AH104" s="19">
        <f t="shared" si="4"/>
        <v>137983.96</v>
      </c>
      <c r="AI104" s="48">
        <f t="shared" si="5"/>
        <v>137983.96</v>
      </c>
      <c r="AJ104" s="5"/>
      <c r="AK104" s="1"/>
      <c r="AL104" s="1"/>
      <c r="AM104" s="1"/>
    </row>
    <row r="105" spans="1:39" s="67" customFormat="1" ht="12" customHeight="1" x14ac:dyDescent="0.2">
      <c r="A105" s="1" t="s">
        <v>163</v>
      </c>
      <c r="B105" s="1"/>
      <c r="C105" s="1" t="s">
        <v>455</v>
      </c>
      <c r="D105" s="1"/>
      <c r="E105" s="48">
        <v>46844.44</v>
      </c>
      <c r="F105" s="48"/>
      <c r="G105" s="48">
        <v>0</v>
      </c>
      <c r="H105" s="48"/>
      <c r="I105" s="48">
        <v>175237.84</v>
      </c>
      <c r="J105" s="48"/>
      <c r="K105" s="48">
        <v>0</v>
      </c>
      <c r="L105" s="48"/>
      <c r="M105" s="48">
        <v>1576.75</v>
      </c>
      <c r="N105" s="48"/>
      <c r="O105" s="48">
        <v>2363.15</v>
      </c>
      <c r="P105" s="48"/>
      <c r="Q105" s="48">
        <v>71655.34</v>
      </c>
      <c r="R105" s="48"/>
      <c r="S105" s="48">
        <v>689183.91</v>
      </c>
      <c r="T105" s="48"/>
      <c r="U105" s="48">
        <v>0</v>
      </c>
      <c r="V105" s="48"/>
      <c r="W105" s="48">
        <v>0</v>
      </c>
      <c r="X105" s="48"/>
      <c r="Y105" s="48">
        <v>0</v>
      </c>
      <c r="Z105" s="48"/>
      <c r="AA105" s="48">
        <v>0</v>
      </c>
      <c r="AB105" s="48"/>
      <c r="AC105" s="48">
        <v>0</v>
      </c>
      <c r="AD105" s="48"/>
      <c r="AE105" s="48">
        <v>0</v>
      </c>
      <c r="AF105" s="48"/>
      <c r="AG105" s="48">
        <v>0</v>
      </c>
      <c r="AH105" s="19">
        <f t="shared" si="4"/>
        <v>986861.43</v>
      </c>
      <c r="AI105" s="48">
        <f t="shared" si="5"/>
        <v>986861.43</v>
      </c>
      <c r="AJ105" s="5"/>
      <c r="AK105" s="1"/>
      <c r="AL105" s="1"/>
      <c r="AM105" s="1"/>
    </row>
    <row r="106" spans="1:39" ht="12" customHeight="1" x14ac:dyDescent="0.2">
      <c r="A106" s="1" t="s">
        <v>137</v>
      </c>
      <c r="C106" s="1" t="s">
        <v>430</v>
      </c>
      <c r="E106" s="48">
        <v>52579.74</v>
      </c>
      <c r="F106" s="48"/>
      <c r="G106" s="48">
        <v>0</v>
      </c>
      <c r="H106" s="48"/>
      <c r="I106" s="48">
        <v>23993.54</v>
      </c>
      <c r="J106" s="48"/>
      <c r="K106" s="48">
        <v>0</v>
      </c>
      <c r="L106" s="48"/>
      <c r="M106" s="48">
        <v>2375</v>
      </c>
      <c r="N106" s="48"/>
      <c r="O106" s="48">
        <v>4586.76</v>
      </c>
      <c r="P106" s="48"/>
      <c r="Q106" s="48">
        <v>152.84</v>
      </c>
      <c r="R106" s="48"/>
      <c r="S106" s="48">
        <v>31630.16</v>
      </c>
      <c r="T106" s="48"/>
      <c r="U106" s="48">
        <v>0</v>
      </c>
      <c r="V106" s="48"/>
      <c r="W106" s="48">
        <v>0</v>
      </c>
      <c r="X106" s="48"/>
      <c r="Y106" s="48">
        <v>0</v>
      </c>
      <c r="Z106" s="48"/>
      <c r="AA106" s="48">
        <v>0</v>
      </c>
      <c r="AB106" s="48"/>
      <c r="AC106" s="48">
        <v>0</v>
      </c>
      <c r="AD106" s="48"/>
      <c r="AE106" s="48">
        <v>0</v>
      </c>
      <c r="AF106" s="48"/>
      <c r="AG106" s="48">
        <v>0</v>
      </c>
      <c r="AH106" s="19">
        <f t="shared" si="4"/>
        <v>115318.04</v>
      </c>
      <c r="AI106" s="48">
        <f t="shared" si="5"/>
        <v>115318.04</v>
      </c>
      <c r="AJ106" s="5"/>
      <c r="AK106" s="87"/>
      <c r="AL106" s="87"/>
      <c r="AM106" s="87"/>
    </row>
    <row r="107" spans="1:39" s="67" customFormat="1" ht="12" customHeight="1" x14ac:dyDescent="0.2">
      <c r="A107" s="1" t="s">
        <v>183</v>
      </c>
      <c r="B107" s="1"/>
      <c r="C107" s="1" t="s">
        <v>472</v>
      </c>
      <c r="D107" s="1"/>
      <c r="E107" s="48">
        <v>216284.36</v>
      </c>
      <c r="F107" s="48"/>
      <c r="G107" s="48">
        <v>0</v>
      </c>
      <c r="H107" s="48"/>
      <c r="I107" s="48">
        <v>33726.26</v>
      </c>
      <c r="J107" s="48"/>
      <c r="K107" s="48">
        <v>0</v>
      </c>
      <c r="L107" s="48"/>
      <c r="M107" s="48">
        <v>10386.75</v>
      </c>
      <c r="N107" s="48"/>
      <c r="O107" s="48">
        <v>31511.43</v>
      </c>
      <c r="P107" s="48"/>
      <c r="Q107" s="48">
        <v>569.42999999999995</v>
      </c>
      <c r="R107" s="48"/>
      <c r="S107" s="48">
        <v>49660.47</v>
      </c>
      <c r="T107" s="48"/>
      <c r="U107" s="48">
        <v>0</v>
      </c>
      <c r="V107" s="48"/>
      <c r="W107" s="48">
        <v>0</v>
      </c>
      <c r="X107" s="48"/>
      <c r="Y107" s="48">
        <v>0</v>
      </c>
      <c r="Z107" s="48"/>
      <c r="AA107" s="48">
        <v>0</v>
      </c>
      <c r="AB107" s="48"/>
      <c r="AC107" s="48">
        <v>0</v>
      </c>
      <c r="AD107" s="48"/>
      <c r="AE107" s="48">
        <v>0</v>
      </c>
      <c r="AF107" s="48"/>
      <c r="AG107" s="48">
        <v>0</v>
      </c>
      <c r="AH107" s="19">
        <f t="shared" si="4"/>
        <v>342138.69999999995</v>
      </c>
      <c r="AI107" s="48">
        <f t="shared" si="5"/>
        <v>342138.69999999995</v>
      </c>
      <c r="AJ107" s="5"/>
      <c r="AK107" s="1"/>
      <c r="AL107" s="1"/>
      <c r="AM107" s="1"/>
    </row>
    <row r="108" spans="1:39" s="67" customFormat="1" ht="12" customHeight="1" x14ac:dyDescent="0.2">
      <c r="A108" s="1" t="s">
        <v>156</v>
      </c>
      <c r="B108" s="1"/>
      <c r="C108" s="1" t="s">
        <v>226</v>
      </c>
      <c r="D108" s="1"/>
      <c r="E108" s="48">
        <v>251796.8</v>
      </c>
      <c r="F108" s="48"/>
      <c r="G108" s="48">
        <v>0</v>
      </c>
      <c r="H108" s="48"/>
      <c r="I108" s="48">
        <v>36788.49</v>
      </c>
      <c r="J108" s="48"/>
      <c r="K108" s="48">
        <v>330.24</v>
      </c>
      <c r="L108" s="48"/>
      <c r="M108" s="48">
        <v>18.850000000000001</v>
      </c>
      <c r="N108" s="48"/>
      <c r="O108" s="48">
        <v>45398.73</v>
      </c>
      <c r="P108" s="48"/>
      <c r="Q108" s="48">
        <v>855.14</v>
      </c>
      <c r="R108" s="48"/>
      <c r="S108" s="48">
        <v>8246.14</v>
      </c>
      <c r="T108" s="48"/>
      <c r="U108" s="48">
        <v>0</v>
      </c>
      <c r="V108" s="48"/>
      <c r="W108" s="48">
        <v>0</v>
      </c>
      <c r="X108" s="48"/>
      <c r="Y108" s="48">
        <v>0</v>
      </c>
      <c r="Z108" s="48"/>
      <c r="AA108" s="48">
        <v>100000</v>
      </c>
      <c r="AB108" s="48"/>
      <c r="AC108" s="48">
        <v>0</v>
      </c>
      <c r="AD108" s="48"/>
      <c r="AE108" s="48">
        <v>0</v>
      </c>
      <c r="AF108" s="48"/>
      <c r="AG108" s="48">
        <v>0</v>
      </c>
      <c r="AH108" s="19">
        <f t="shared" si="4"/>
        <v>443434.38999999996</v>
      </c>
      <c r="AI108" s="48">
        <f t="shared" si="5"/>
        <v>443434.38999999996</v>
      </c>
      <c r="AJ108" s="5"/>
      <c r="AK108" s="1"/>
      <c r="AL108" s="1"/>
      <c r="AM108" s="1"/>
    </row>
    <row r="109" spans="1:39" ht="12" customHeight="1" x14ac:dyDescent="0.2">
      <c r="A109" s="1" t="s">
        <v>565</v>
      </c>
      <c r="C109" s="1" t="s">
        <v>566</v>
      </c>
      <c r="E109" s="48">
        <f>84270+298032</f>
        <v>382302</v>
      </c>
      <c r="F109" s="48"/>
      <c r="G109" s="48">
        <v>698203</v>
      </c>
      <c r="H109" s="48"/>
      <c r="I109" s="48">
        <v>82668</v>
      </c>
      <c r="J109" s="48"/>
      <c r="K109" s="48">
        <v>0</v>
      </c>
      <c r="L109" s="48"/>
      <c r="M109" s="48">
        <v>17705</v>
      </c>
      <c r="N109" s="48"/>
      <c r="O109" s="48">
        <f>3305+7862</f>
        <v>11167</v>
      </c>
      <c r="P109" s="48"/>
      <c r="Q109" s="48">
        <v>42477</v>
      </c>
      <c r="R109" s="48"/>
      <c r="S109" s="48">
        <f>15400+10076+56387</f>
        <v>81863</v>
      </c>
      <c r="T109" s="48"/>
      <c r="U109" s="48">
        <v>0</v>
      </c>
      <c r="V109" s="48"/>
      <c r="W109" s="48">
        <v>0</v>
      </c>
      <c r="X109" s="48"/>
      <c r="Y109" s="48">
        <v>18590</v>
      </c>
      <c r="Z109" s="48"/>
      <c r="AA109" s="48">
        <v>0</v>
      </c>
      <c r="AB109" s="48"/>
      <c r="AC109" s="48">
        <v>0</v>
      </c>
      <c r="AD109" s="48"/>
      <c r="AE109" s="48">
        <v>0</v>
      </c>
      <c r="AF109" s="48"/>
      <c r="AG109" s="48">
        <v>0</v>
      </c>
      <c r="AH109" s="19">
        <f t="shared" si="4"/>
        <v>1334975</v>
      </c>
      <c r="AI109" s="48">
        <f t="shared" si="5"/>
        <v>1334975</v>
      </c>
      <c r="AJ109" s="5"/>
    </row>
    <row r="110" spans="1:39" ht="12" customHeight="1" x14ac:dyDescent="0.2">
      <c r="A110" s="1" t="s">
        <v>816</v>
      </c>
      <c r="C110" s="1" t="s">
        <v>541</v>
      </c>
      <c r="E110" s="48">
        <v>62732</v>
      </c>
      <c r="F110" s="48"/>
      <c r="G110" s="48">
        <v>616895</v>
      </c>
      <c r="H110" s="48"/>
      <c r="I110" s="48">
        <v>116756</v>
      </c>
      <c r="J110" s="48"/>
      <c r="K110" s="48">
        <v>40413</v>
      </c>
      <c r="L110" s="48"/>
      <c r="M110" s="48">
        <v>0</v>
      </c>
      <c r="N110" s="48"/>
      <c r="O110" s="48">
        <f>48785+121091</f>
        <v>169876</v>
      </c>
      <c r="P110" s="48"/>
      <c r="Q110" s="48">
        <v>990</v>
      </c>
      <c r="R110" s="48"/>
      <c r="S110" s="48">
        <v>30818</v>
      </c>
      <c r="T110" s="48"/>
      <c r="U110" s="48">
        <v>0</v>
      </c>
      <c r="V110" s="48"/>
      <c r="W110" s="48">
        <v>0</v>
      </c>
      <c r="X110" s="48"/>
      <c r="Y110" s="48">
        <v>0</v>
      </c>
      <c r="Z110" s="48"/>
      <c r="AA110" s="48">
        <v>0</v>
      </c>
      <c r="AB110" s="48"/>
      <c r="AC110" s="48">
        <v>0</v>
      </c>
      <c r="AD110" s="48"/>
      <c r="AE110" s="48">
        <v>0</v>
      </c>
      <c r="AF110" s="48"/>
      <c r="AG110" s="48">
        <v>0</v>
      </c>
      <c r="AH110" s="19">
        <f t="shared" si="4"/>
        <v>1038480</v>
      </c>
      <c r="AI110" s="48">
        <f t="shared" si="5"/>
        <v>1038480</v>
      </c>
      <c r="AJ110" s="5"/>
      <c r="AK110" s="67"/>
      <c r="AL110" s="67"/>
      <c r="AM110" s="67"/>
    </row>
    <row r="111" spans="1:39" ht="12" customHeight="1" x14ac:dyDescent="0.2">
      <c r="A111" s="1" t="s">
        <v>57</v>
      </c>
      <c r="C111" s="1" t="s">
        <v>327</v>
      </c>
      <c r="E111" s="48">
        <v>15440.75</v>
      </c>
      <c r="F111" s="48"/>
      <c r="G111" s="48">
        <v>154786.84</v>
      </c>
      <c r="H111" s="48"/>
      <c r="I111" s="48">
        <v>12073.99</v>
      </c>
      <c r="J111" s="48"/>
      <c r="K111" s="48">
        <v>0</v>
      </c>
      <c r="L111" s="48"/>
      <c r="M111" s="48">
        <v>13750</v>
      </c>
      <c r="N111" s="48"/>
      <c r="O111" s="48">
        <v>16083.69</v>
      </c>
      <c r="P111" s="48"/>
      <c r="Q111" s="48">
        <v>508.67</v>
      </c>
      <c r="R111" s="48"/>
      <c r="S111" s="48">
        <v>7227.41</v>
      </c>
      <c r="T111" s="48"/>
      <c r="U111" s="48">
        <v>0</v>
      </c>
      <c r="V111" s="48"/>
      <c r="W111" s="48">
        <v>0</v>
      </c>
      <c r="X111" s="48"/>
      <c r="Y111" s="48">
        <v>0</v>
      </c>
      <c r="Z111" s="48"/>
      <c r="AA111" s="48">
        <v>0</v>
      </c>
      <c r="AB111" s="48"/>
      <c r="AC111" s="48">
        <v>0</v>
      </c>
      <c r="AD111" s="48"/>
      <c r="AE111" s="48">
        <v>0</v>
      </c>
      <c r="AF111" s="48"/>
      <c r="AG111" s="48">
        <v>0</v>
      </c>
      <c r="AH111" s="19">
        <f t="shared" si="4"/>
        <v>219871.35</v>
      </c>
      <c r="AI111" s="48">
        <f t="shared" si="5"/>
        <v>219871.35</v>
      </c>
      <c r="AJ111" s="5"/>
      <c r="AK111" s="67"/>
      <c r="AL111" s="67"/>
      <c r="AM111" s="67"/>
    </row>
    <row r="112" spans="1:39" ht="12" customHeight="1" x14ac:dyDescent="0.2">
      <c r="A112" s="1" t="s">
        <v>267</v>
      </c>
      <c r="C112" s="1" t="s">
        <v>57</v>
      </c>
      <c r="E112" s="48">
        <v>216206</v>
      </c>
      <c r="F112" s="48"/>
      <c r="G112" s="48">
        <v>0</v>
      </c>
      <c r="H112" s="48"/>
      <c r="I112" s="48">
        <v>181738</v>
      </c>
      <c r="J112" s="48"/>
      <c r="K112" s="48">
        <v>0</v>
      </c>
      <c r="L112" s="48"/>
      <c r="M112" s="48">
        <v>10446</v>
      </c>
      <c r="N112" s="48"/>
      <c r="O112" s="48">
        <v>99221</v>
      </c>
      <c r="P112" s="48"/>
      <c r="Q112" s="48">
        <v>842</v>
      </c>
      <c r="R112" s="48"/>
      <c r="S112" s="48">
        <v>29077</v>
      </c>
      <c r="T112" s="48"/>
      <c r="U112" s="48">
        <v>0</v>
      </c>
      <c r="V112" s="48"/>
      <c r="W112" s="48">
        <v>0</v>
      </c>
      <c r="X112" s="48"/>
      <c r="Y112" s="48">
        <v>0</v>
      </c>
      <c r="Z112" s="48"/>
      <c r="AA112" s="48">
        <v>0</v>
      </c>
      <c r="AB112" s="48"/>
      <c r="AC112" s="48">
        <v>0</v>
      </c>
      <c r="AD112" s="48"/>
      <c r="AE112" s="48">
        <v>0</v>
      </c>
      <c r="AF112" s="48"/>
      <c r="AG112" s="48">
        <v>0</v>
      </c>
      <c r="AH112" s="19">
        <f t="shared" si="4"/>
        <v>537530</v>
      </c>
      <c r="AI112" s="48">
        <f t="shared" si="5"/>
        <v>537530</v>
      </c>
      <c r="AJ112" s="8"/>
      <c r="AK112" s="14"/>
      <c r="AL112" s="14"/>
      <c r="AM112" s="14"/>
    </row>
    <row r="113" spans="1:39" ht="12" customHeight="1" x14ac:dyDescent="0.2">
      <c r="A113" s="1" t="s">
        <v>795</v>
      </c>
      <c r="C113" s="1" t="s">
        <v>437</v>
      </c>
      <c r="E113" s="48">
        <v>10524.23</v>
      </c>
      <c r="F113" s="48"/>
      <c r="G113" s="48">
        <v>0</v>
      </c>
      <c r="H113" s="48"/>
      <c r="I113" s="48">
        <v>16036.84</v>
      </c>
      <c r="J113" s="48"/>
      <c r="K113" s="48">
        <v>0</v>
      </c>
      <c r="L113" s="48"/>
      <c r="M113" s="48">
        <v>180</v>
      </c>
      <c r="N113" s="48"/>
      <c r="O113" s="48">
        <v>1878.11</v>
      </c>
      <c r="P113" s="48"/>
      <c r="Q113" s="48">
        <v>268.92</v>
      </c>
      <c r="R113" s="48"/>
      <c r="S113" s="48">
        <v>265.56</v>
      </c>
      <c r="T113" s="48"/>
      <c r="U113" s="48">
        <v>0</v>
      </c>
      <c r="V113" s="48"/>
      <c r="W113" s="48">
        <v>0</v>
      </c>
      <c r="X113" s="48"/>
      <c r="Y113" s="48">
        <v>0</v>
      </c>
      <c r="Z113" s="48"/>
      <c r="AA113" s="48">
        <v>0</v>
      </c>
      <c r="AB113" s="48"/>
      <c r="AC113" s="48">
        <v>0</v>
      </c>
      <c r="AD113" s="48"/>
      <c r="AE113" s="48">
        <v>0</v>
      </c>
      <c r="AF113" s="48"/>
      <c r="AG113" s="48">
        <v>0</v>
      </c>
      <c r="AH113" s="19">
        <f t="shared" si="4"/>
        <v>29153.66</v>
      </c>
      <c r="AI113" s="48">
        <f t="shared" si="5"/>
        <v>29153.66</v>
      </c>
      <c r="AJ113" s="5"/>
      <c r="AK113" s="4"/>
      <c r="AL113" s="4"/>
      <c r="AM113" s="4"/>
    </row>
    <row r="114" spans="1:39" ht="12" customHeight="1" x14ac:dyDescent="0.2">
      <c r="A114" s="1" t="s">
        <v>55</v>
      </c>
      <c r="C114" s="1" t="s">
        <v>325</v>
      </c>
      <c r="E114" s="48">
        <v>99672.62</v>
      </c>
      <c r="F114" s="48"/>
      <c r="G114" s="48">
        <v>0</v>
      </c>
      <c r="H114" s="48"/>
      <c r="I114" s="48">
        <v>30391.91</v>
      </c>
      <c r="J114" s="48"/>
      <c r="K114" s="48">
        <v>0</v>
      </c>
      <c r="L114" s="48"/>
      <c r="M114" s="48">
        <v>0</v>
      </c>
      <c r="N114" s="48"/>
      <c r="O114" s="48">
        <v>20430.919999999998</v>
      </c>
      <c r="P114" s="48"/>
      <c r="Q114" s="48">
        <v>311.76</v>
      </c>
      <c r="R114" s="48"/>
      <c r="S114" s="48">
        <v>3402.09</v>
      </c>
      <c r="T114" s="48"/>
      <c r="U114" s="48">
        <v>0</v>
      </c>
      <c r="V114" s="48"/>
      <c r="W114" s="48">
        <v>0</v>
      </c>
      <c r="X114" s="48"/>
      <c r="Y114" s="48">
        <v>0</v>
      </c>
      <c r="Z114" s="48"/>
      <c r="AA114" s="48">
        <v>0</v>
      </c>
      <c r="AB114" s="48"/>
      <c r="AC114" s="48">
        <v>0</v>
      </c>
      <c r="AD114" s="48"/>
      <c r="AE114" s="48">
        <v>0</v>
      </c>
      <c r="AF114" s="48"/>
      <c r="AG114" s="48">
        <v>0</v>
      </c>
      <c r="AH114" s="19">
        <f t="shared" si="4"/>
        <v>154209.30000000002</v>
      </c>
      <c r="AI114" s="48">
        <f t="shared" si="5"/>
        <v>154209.30000000002</v>
      </c>
      <c r="AJ114" s="8"/>
      <c r="AK114" s="14"/>
      <c r="AL114" s="14"/>
      <c r="AM114" s="14"/>
    </row>
    <row r="115" spans="1:39" s="67" customFormat="1" ht="12" customHeight="1" x14ac:dyDescent="0.2">
      <c r="A115" s="1" t="s">
        <v>33</v>
      </c>
      <c r="B115" s="1"/>
      <c r="C115" s="1" t="s">
        <v>274</v>
      </c>
      <c r="D115" s="1"/>
      <c r="E115" s="48">
        <v>4547</v>
      </c>
      <c r="F115" s="48"/>
      <c r="G115" s="48">
        <v>42820.04</v>
      </c>
      <c r="H115" s="48"/>
      <c r="I115" s="48">
        <v>3244</v>
      </c>
      <c r="J115" s="48"/>
      <c r="K115" s="48">
        <v>0</v>
      </c>
      <c r="L115" s="48"/>
      <c r="M115" s="48">
        <v>0</v>
      </c>
      <c r="N115" s="48"/>
      <c r="O115" s="48">
        <v>15668</v>
      </c>
      <c r="P115" s="48"/>
      <c r="Q115" s="48">
        <v>0</v>
      </c>
      <c r="R115" s="48"/>
      <c r="S115" s="48">
        <v>3240.6</v>
      </c>
      <c r="T115" s="48"/>
      <c r="U115" s="48">
        <v>0</v>
      </c>
      <c r="V115" s="48"/>
      <c r="W115" s="48">
        <v>0</v>
      </c>
      <c r="X115" s="48"/>
      <c r="Y115" s="48">
        <v>0</v>
      </c>
      <c r="Z115" s="48"/>
      <c r="AA115" s="48">
        <v>0</v>
      </c>
      <c r="AB115" s="48"/>
      <c r="AC115" s="48">
        <v>0</v>
      </c>
      <c r="AD115" s="48"/>
      <c r="AE115" s="48">
        <v>0</v>
      </c>
      <c r="AF115" s="48"/>
      <c r="AG115" s="48">
        <v>0</v>
      </c>
      <c r="AH115" s="19">
        <f t="shared" si="4"/>
        <v>69519.640000000014</v>
      </c>
      <c r="AI115" s="48">
        <f t="shared" si="5"/>
        <v>69519.640000000014</v>
      </c>
      <c r="AJ115" s="5"/>
      <c r="AK115" s="1"/>
      <c r="AL115" s="1"/>
      <c r="AM115" s="1"/>
    </row>
    <row r="116" spans="1:39" ht="12" customHeight="1" x14ac:dyDescent="0.2">
      <c r="A116" s="1" t="s">
        <v>168</v>
      </c>
      <c r="C116" s="1" t="s">
        <v>460</v>
      </c>
      <c r="E116" s="48">
        <v>3328.25</v>
      </c>
      <c r="F116" s="48"/>
      <c r="G116" s="48">
        <v>14960.85</v>
      </c>
      <c r="H116" s="48"/>
      <c r="I116" s="48">
        <v>14849.66</v>
      </c>
      <c r="J116" s="48"/>
      <c r="K116" s="48">
        <v>0</v>
      </c>
      <c r="L116" s="48"/>
      <c r="M116" s="48">
        <v>425</v>
      </c>
      <c r="N116" s="48"/>
      <c r="O116" s="48">
        <v>988.97</v>
      </c>
      <c r="P116" s="48"/>
      <c r="Q116" s="48">
        <v>11.73</v>
      </c>
      <c r="R116" s="48"/>
      <c r="S116" s="48">
        <v>221.4</v>
      </c>
      <c r="T116" s="48"/>
      <c r="U116" s="48">
        <v>0</v>
      </c>
      <c r="V116" s="48"/>
      <c r="W116" s="48">
        <v>0</v>
      </c>
      <c r="X116" s="48"/>
      <c r="Y116" s="48">
        <v>0</v>
      </c>
      <c r="Z116" s="48"/>
      <c r="AA116" s="48">
        <v>0</v>
      </c>
      <c r="AB116" s="48"/>
      <c r="AC116" s="48">
        <v>0</v>
      </c>
      <c r="AD116" s="48"/>
      <c r="AE116" s="48">
        <v>0</v>
      </c>
      <c r="AF116" s="48"/>
      <c r="AG116" s="48">
        <v>0</v>
      </c>
      <c r="AH116" s="19">
        <f t="shared" si="4"/>
        <v>34785.86</v>
      </c>
      <c r="AI116" s="48">
        <f t="shared" si="5"/>
        <v>34785.86</v>
      </c>
      <c r="AJ116" s="5"/>
      <c r="AK116" s="87"/>
      <c r="AL116" s="87"/>
      <c r="AM116" s="87"/>
    </row>
    <row r="117" spans="1:39" ht="12" customHeight="1" x14ac:dyDescent="0.2">
      <c r="A117" s="1" t="s">
        <v>344</v>
      </c>
      <c r="C117" s="1" t="s">
        <v>345</v>
      </c>
      <c r="E117" s="48">
        <v>53413</v>
      </c>
      <c r="F117" s="48"/>
      <c r="G117" s="48">
        <v>551305</v>
      </c>
      <c r="H117" s="48"/>
      <c r="I117" s="48">
        <v>45339</v>
      </c>
      <c r="J117" s="48"/>
      <c r="K117" s="48">
        <v>0</v>
      </c>
      <c r="L117" s="48"/>
      <c r="M117" s="48">
        <v>0</v>
      </c>
      <c r="N117" s="48"/>
      <c r="O117" s="48">
        <v>12377</v>
      </c>
      <c r="P117" s="48"/>
      <c r="Q117" s="48">
        <v>128</v>
      </c>
      <c r="R117" s="48"/>
      <c r="S117" s="48">
        <v>14664</v>
      </c>
      <c r="T117" s="48"/>
      <c r="U117" s="48">
        <v>0</v>
      </c>
      <c r="V117" s="48"/>
      <c r="W117" s="48">
        <v>0</v>
      </c>
      <c r="X117" s="48"/>
      <c r="Y117" s="48">
        <v>0</v>
      </c>
      <c r="Z117" s="48"/>
      <c r="AA117" s="48">
        <v>0</v>
      </c>
      <c r="AB117" s="48"/>
      <c r="AC117" s="48">
        <v>23260</v>
      </c>
      <c r="AD117" s="48"/>
      <c r="AE117" s="48">
        <v>0</v>
      </c>
      <c r="AF117" s="48"/>
      <c r="AG117" s="48">
        <v>0</v>
      </c>
      <c r="AH117" s="19">
        <f t="shared" si="4"/>
        <v>700486</v>
      </c>
      <c r="AI117" s="48">
        <f t="shared" si="5"/>
        <v>700486</v>
      </c>
      <c r="AJ117" s="5"/>
    </row>
    <row r="118" spans="1:39" ht="12" customHeight="1" x14ac:dyDescent="0.2">
      <c r="A118" s="1" t="s">
        <v>114</v>
      </c>
      <c r="C118" s="1" t="s">
        <v>396</v>
      </c>
      <c r="E118" s="48">
        <v>80083.59</v>
      </c>
      <c r="F118" s="48"/>
      <c r="G118" s="48">
        <v>354689.26</v>
      </c>
      <c r="H118" s="48"/>
      <c r="I118" s="48">
        <v>28079.94</v>
      </c>
      <c r="J118" s="48"/>
      <c r="K118" s="48">
        <v>0</v>
      </c>
      <c r="L118" s="48"/>
      <c r="M118" s="48">
        <v>0</v>
      </c>
      <c r="N118" s="48"/>
      <c r="O118" s="48">
        <v>15511.17</v>
      </c>
      <c r="P118" s="48"/>
      <c r="Q118" s="48">
        <v>675.48</v>
      </c>
      <c r="R118" s="48"/>
      <c r="S118" s="48">
        <v>3236.04</v>
      </c>
      <c r="T118" s="48"/>
      <c r="U118" s="48">
        <v>0</v>
      </c>
      <c r="V118" s="48"/>
      <c r="W118" s="48">
        <v>0</v>
      </c>
      <c r="X118" s="48"/>
      <c r="Y118" s="48">
        <v>0</v>
      </c>
      <c r="Z118" s="48"/>
      <c r="AA118" s="48">
        <v>0</v>
      </c>
      <c r="AB118" s="48"/>
      <c r="AC118" s="48">
        <v>0</v>
      </c>
      <c r="AD118" s="48"/>
      <c r="AE118" s="48">
        <v>0</v>
      </c>
      <c r="AF118" s="48"/>
      <c r="AG118" s="48">
        <v>0</v>
      </c>
      <c r="AH118" s="19">
        <f t="shared" si="4"/>
        <v>482275.47999999992</v>
      </c>
      <c r="AI118" s="48">
        <f t="shared" si="5"/>
        <v>482275.47999999992</v>
      </c>
      <c r="AJ118" s="5"/>
      <c r="AK118" s="67"/>
      <c r="AL118" s="67"/>
      <c r="AM118" s="67"/>
    </row>
    <row r="119" spans="1:39" ht="12" customHeight="1" x14ac:dyDescent="0.2">
      <c r="A119" s="1" t="s">
        <v>709</v>
      </c>
      <c r="C119" s="1" t="s">
        <v>338</v>
      </c>
      <c r="E119" s="48">
        <v>84.47</v>
      </c>
      <c r="F119" s="48"/>
      <c r="G119" s="48">
        <v>0</v>
      </c>
      <c r="H119" s="48"/>
      <c r="I119" s="48">
        <v>53333.74</v>
      </c>
      <c r="J119" s="48"/>
      <c r="K119" s="48">
        <v>0</v>
      </c>
      <c r="L119" s="48"/>
      <c r="M119" s="48">
        <v>6248.64</v>
      </c>
      <c r="N119" s="48"/>
      <c r="O119" s="48">
        <v>9</v>
      </c>
      <c r="P119" s="48"/>
      <c r="Q119" s="48">
        <v>0</v>
      </c>
      <c r="R119" s="48"/>
      <c r="S119" s="48">
        <v>15319.83</v>
      </c>
      <c r="T119" s="48"/>
      <c r="U119" s="48">
        <v>0</v>
      </c>
      <c r="V119" s="48"/>
      <c r="W119" s="48">
        <v>0</v>
      </c>
      <c r="X119" s="48"/>
      <c r="Y119" s="48">
        <v>0</v>
      </c>
      <c r="Z119" s="48"/>
      <c r="AA119" s="48">
        <v>1127.5899999999999</v>
      </c>
      <c r="AB119" s="48"/>
      <c r="AC119" s="48">
        <v>0</v>
      </c>
      <c r="AD119" s="48"/>
      <c r="AE119" s="48">
        <v>6991.84</v>
      </c>
      <c r="AF119" s="48"/>
      <c r="AG119" s="48">
        <v>0</v>
      </c>
      <c r="AH119" s="19">
        <f t="shared" si="4"/>
        <v>83115.109999999986</v>
      </c>
      <c r="AI119" s="48">
        <f t="shared" si="5"/>
        <v>83115.109999999986</v>
      </c>
      <c r="AJ119" s="5"/>
      <c r="AK119" s="67"/>
      <c r="AL119" s="67"/>
      <c r="AM119" s="67"/>
    </row>
    <row r="120" spans="1:39" ht="12" customHeight="1" x14ac:dyDescent="0.2">
      <c r="A120" s="1" t="s">
        <v>296</v>
      </c>
      <c r="C120" s="1" t="s">
        <v>293</v>
      </c>
      <c r="E120" s="48">
        <v>1280215</v>
      </c>
      <c r="F120" s="48"/>
      <c r="G120" s="48">
        <v>2672023</v>
      </c>
      <c r="H120" s="48"/>
      <c r="I120" s="48">
        <v>777258</v>
      </c>
      <c r="J120" s="48"/>
      <c r="K120" s="48">
        <v>0</v>
      </c>
      <c r="L120" s="48"/>
      <c r="M120" s="48">
        <v>973547</v>
      </c>
      <c r="N120" s="48"/>
      <c r="O120" s="48">
        <v>106274</v>
      </c>
      <c r="P120" s="48"/>
      <c r="Q120" s="48">
        <v>8783</v>
      </c>
      <c r="R120" s="48"/>
      <c r="S120" s="48">
        <v>58007</v>
      </c>
      <c r="T120" s="48"/>
      <c r="U120" s="48">
        <v>0</v>
      </c>
      <c r="V120" s="48"/>
      <c r="W120" s="48">
        <v>0</v>
      </c>
      <c r="X120" s="48"/>
      <c r="Y120" s="48">
        <v>0</v>
      </c>
      <c r="Z120" s="48"/>
      <c r="AA120" s="48">
        <v>0</v>
      </c>
      <c r="AB120" s="48"/>
      <c r="AC120" s="48">
        <v>20000</v>
      </c>
      <c r="AD120" s="48"/>
      <c r="AE120" s="48">
        <v>0</v>
      </c>
      <c r="AF120" s="48"/>
      <c r="AG120" s="48">
        <v>0</v>
      </c>
      <c r="AH120" s="19">
        <f t="shared" si="4"/>
        <v>5896107</v>
      </c>
      <c r="AI120" s="48">
        <f t="shared" si="5"/>
        <v>5896107</v>
      </c>
      <c r="AJ120" s="5"/>
    </row>
    <row r="121" spans="1:39" ht="12" customHeight="1" x14ac:dyDescent="0.2">
      <c r="A121" s="1" t="s">
        <v>288</v>
      </c>
      <c r="C121" s="1" t="s">
        <v>289</v>
      </c>
      <c r="E121" s="48">
        <v>2130</v>
      </c>
      <c r="F121" s="48"/>
      <c r="G121" s="48">
        <v>0</v>
      </c>
      <c r="H121" s="48"/>
      <c r="I121" s="48">
        <v>5698</v>
      </c>
      <c r="J121" s="48"/>
      <c r="K121" s="48">
        <v>0</v>
      </c>
      <c r="L121" s="48"/>
      <c r="M121" s="48">
        <v>0</v>
      </c>
      <c r="N121" s="48"/>
      <c r="O121" s="48">
        <v>10</v>
      </c>
      <c r="P121" s="48"/>
      <c r="Q121" s="48">
        <v>11</v>
      </c>
      <c r="R121" s="48"/>
      <c r="S121" s="48">
        <v>110</v>
      </c>
      <c r="T121" s="48"/>
      <c r="U121" s="48">
        <v>0</v>
      </c>
      <c r="V121" s="48"/>
      <c r="W121" s="48">
        <v>0</v>
      </c>
      <c r="X121" s="48"/>
      <c r="Y121" s="48">
        <v>0</v>
      </c>
      <c r="Z121" s="48"/>
      <c r="AA121" s="48">
        <v>0</v>
      </c>
      <c r="AB121" s="48"/>
      <c r="AC121" s="48">
        <v>0</v>
      </c>
      <c r="AD121" s="48"/>
      <c r="AE121" s="48">
        <v>0</v>
      </c>
      <c r="AF121" s="48"/>
      <c r="AG121" s="48">
        <v>0</v>
      </c>
      <c r="AH121" s="19">
        <f t="shared" si="4"/>
        <v>7959</v>
      </c>
      <c r="AI121" s="48">
        <f t="shared" si="5"/>
        <v>7959</v>
      </c>
      <c r="AJ121" s="5"/>
      <c r="AK121" s="67"/>
      <c r="AL121" s="67"/>
      <c r="AM121" s="67"/>
    </row>
    <row r="122" spans="1:39" s="67" customFormat="1" ht="12" customHeight="1" x14ac:dyDescent="0.2">
      <c r="A122" s="1" t="s">
        <v>255</v>
      </c>
      <c r="B122" s="1"/>
      <c r="C122" s="1" t="s">
        <v>253</v>
      </c>
      <c r="D122" s="1"/>
      <c r="E122" s="48">
        <v>44268.61</v>
      </c>
      <c r="F122" s="48"/>
      <c r="G122" s="48">
        <v>0</v>
      </c>
      <c r="H122" s="48"/>
      <c r="I122" s="48">
        <v>18983.55</v>
      </c>
      <c r="J122" s="48"/>
      <c r="K122" s="48">
        <v>0</v>
      </c>
      <c r="L122" s="48"/>
      <c r="M122" s="48">
        <v>0</v>
      </c>
      <c r="N122" s="48"/>
      <c r="O122" s="48">
        <v>515.4</v>
      </c>
      <c r="P122" s="48"/>
      <c r="Q122" s="48">
        <v>66.760000000000005</v>
      </c>
      <c r="R122" s="48"/>
      <c r="S122" s="48">
        <v>13292.78</v>
      </c>
      <c r="T122" s="48"/>
      <c r="U122" s="48">
        <v>0</v>
      </c>
      <c r="V122" s="48"/>
      <c r="W122" s="48">
        <v>0</v>
      </c>
      <c r="X122" s="48"/>
      <c r="Y122" s="48">
        <v>0</v>
      </c>
      <c r="Z122" s="48"/>
      <c r="AA122" s="48">
        <v>0</v>
      </c>
      <c r="AB122" s="48"/>
      <c r="AC122" s="48">
        <v>0</v>
      </c>
      <c r="AD122" s="48"/>
      <c r="AE122" s="48">
        <v>0</v>
      </c>
      <c r="AF122" s="48"/>
      <c r="AG122" s="48">
        <v>0</v>
      </c>
      <c r="AH122" s="19">
        <f t="shared" si="4"/>
        <v>77127.100000000006</v>
      </c>
      <c r="AI122" s="48">
        <f t="shared" si="5"/>
        <v>77127.100000000006</v>
      </c>
      <c r="AJ122" s="5"/>
      <c r="AK122" s="1"/>
      <c r="AL122" s="1"/>
      <c r="AM122" s="1"/>
    </row>
    <row r="123" spans="1:39" s="14" customFormat="1" ht="12" customHeight="1" x14ac:dyDescent="0.2">
      <c r="A123" s="1" t="s">
        <v>405</v>
      </c>
      <c r="B123" s="1"/>
      <c r="C123" s="1" t="s">
        <v>406</v>
      </c>
      <c r="D123" s="1"/>
      <c r="E123" s="48">
        <v>23113.13</v>
      </c>
      <c r="F123" s="48"/>
      <c r="G123" s="48">
        <v>0</v>
      </c>
      <c r="H123" s="48"/>
      <c r="I123" s="48">
        <v>17892.27</v>
      </c>
      <c r="J123" s="48"/>
      <c r="K123" s="48">
        <v>0</v>
      </c>
      <c r="L123" s="48"/>
      <c r="M123" s="48">
        <v>0</v>
      </c>
      <c r="N123" s="48"/>
      <c r="O123" s="48">
        <v>149814.04</v>
      </c>
      <c r="P123" s="48"/>
      <c r="Q123" s="48">
        <v>40.049999999999997</v>
      </c>
      <c r="R123" s="48"/>
      <c r="S123" s="48">
        <v>9161.01</v>
      </c>
      <c r="T123" s="48"/>
      <c r="U123" s="48">
        <v>0</v>
      </c>
      <c r="V123" s="48"/>
      <c r="W123" s="48">
        <v>0</v>
      </c>
      <c r="X123" s="48"/>
      <c r="Y123" s="48">
        <v>0</v>
      </c>
      <c r="Z123" s="48"/>
      <c r="AA123" s="48">
        <v>0</v>
      </c>
      <c r="AB123" s="48"/>
      <c r="AC123" s="48">
        <v>0</v>
      </c>
      <c r="AD123" s="48"/>
      <c r="AE123" s="48">
        <v>2053.73</v>
      </c>
      <c r="AF123" s="48"/>
      <c r="AG123" s="48">
        <v>0</v>
      </c>
      <c r="AH123" s="19">
        <f t="shared" si="4"/>
        <v>202074.23</v>
      </c>
      <c r="AI123" s="48">
        <f t="shared" si="5"/>
        <v>202074.23</v>
      </c>
      <c r="AJ123" s="5"/>
      <c r="AK123" s="67"/>
      <c r="AL123" s="67"/>
      <c r="AM123" s="67"/>
    </row>
    <row r="124" spans="1:39" ht="12" customHeight="1" x14ac:dyDescent="0.2">
      <c r="A124" s="1" t="s">
        <v>74</v>
      </c>
      <c r="C124" s="1" t="s">
        <v>338</v>
      </c>
      <c r="E124" s="48">
        <v>768.57</v>
      </c>
      <c r="F124" s="48"/>
      <c r="G124" s="48">
        <v>0</v>
      </c>
      <c r="H124" s="48"/>
      <c r="I124" s="48">
        <v>44181.06</v>
      </c>
      <c r="J124" s="48"/>
      <c r="K124" s="48">
        <v>0</v>
      </c>
      <c r="L124" s="48"/>
      <c r="M124" s="48">
        <v>0</v>
      </c>
      <c r="N124" s="48"/>
      <c r="O124" s="48">
        <v>1115.53</v>
      </c>
      <c r="P124" s="48"/>
      <c r="Q124" s="48">
        <v>9.6</v>
      </c>
      <c r="R124" s="48"/>
      <c r="S124" s="48">
        <v>3038.3</v>
      </c>
      <c r="T124" s="48"/>
      <c r="U124" s="48">
        <v>0</v>
      </c>
      <c r="V124" s="48"/>
      <c r="W124" s="48">
        <v>0</v>
      </c>
      <c r="X124" s="48"/>
      <c r="Y124" s="48">
        <v>0</v>
      </c>
      <c r="Z124" s="48"/>
      <c r="AA124" s="48">
        <v>0</v>
      </c>
      <c r="AB124" s="48"/>
      <c r="AC124" s="48">
        <v>0</v>
      </c>
      <c r="AD124" s="48"/>
      <c r="AE124" s="48">
        <v>0</v>
      </c>
      <c r="AF124" s="48"/>
      <c r="AG124" s="48">
        <v>0</v>
      </c>
      <c r="AH124" s="19">
        <f t="shared" si="4"/>
        <v>49113.06</v>
      </c>
      <c r="AI124" s="48">
        <f t="shared" si="5"/>
        <v>49113.06</v>
      </c>
      <c r="AJ124" s="5"/>
    </row>
    <row r="125" spans="1:39" ht="12" customHeight="1" x14ac:dyDescent="0.2">
      <c r="A125" s="1" t="s">
        <v>764</v>
      </c>
      <c r="C125" s="1" t="s">
        <v>765</v>
      </c>
      <c r="E125" s="48">
        <v>1096.42</v>
      </c>
      <c r="F125" s="48"/>
      <c r="G125" s="48">
        <v>0</v>
      </c>
      <c r="H125" s="48"/>
      <c r="I125" s="48">
        <v>1992.5</v>
      </c>
      <c r="J125" s="48"/>
      <c r="K125" s="48">
        <v>0</v>
      </c>
      <c r="L125" s="48"/>
      <c r="M125" s="48">
        <v>7676.95</v>
      </c>
      <c r="N125" s="48"/>
      <c r="O125" s="48">
        <v>0</v>
      </c>
      <c r="P125" s="48"/>
      <c r="Q125" s="48">
        <v>308.92</v>
      </c>
      <c r="R125" s="48"/>
      <c r="S125" s="48">
        <v>0</v>
      </c>
      <c r="T125" s="48"/>
      <c r="U125" s="48">
        <v>0</v>
      </c>
      <c r="V125" s="48"/>
      <c r="W125" s="48">
        <v>0</v>
      </c>
      <c r="X125" s="48"/>
      <c r="Y125" s="48">
        <v>0</v>
      </c>
      <c r="Z125" s="48"/>
      <c r="AA125" s="48">
        <v>0</v>
      </c>
      <c r="AB125" s="48"/>
      <c r="AC125" s="48">
        <v>0</v>
      </c>
      <c r="AD125" s="48"/>
      <c r="AE125" s="48">
        <v>0</v>
      </c>
      <c r="AF125" s="48"/>
      <c r="AG125" s="48">
        <v>0</v>
      </c>
      <c r="AH125" s="19">
        <f t="shared" ref="AH125:AH159" si="6">SUM(D125:AF125)</f>
        <v>11074.789999999999</v>
      </c>
      <c r="AI125" s="48">
        <f t="shared" si="5"/>
        <v>11074.789999999999</v>
      </c>
      <c r="AJ125" s="5"/>
      <c r="AK125" s="87"/>
      <c r="AL125" s="87"/>
      <c r="AM125" s="87"/>
    </row>
    <row r="126" spans="1:39" ht="12" customHeight="1" x14ac:dyDescent="0.2">
      <c r="A126" s="1" t="s">
        <v>157</v>
      </c>
      <c r="C126" s="1" t="s">
        <v>226</v>
      </c>
      <c r="E126" s="48">
        <v>29806</v>
      </c>
      <c r="F126" s="48"/>
      <c r="G126" s="48">
        <v>0</v>
      </c>
      <c r="H126" s="48"/>
      <c r="I126" s="48">
        <v>12221.22</v>
      </c>
      <c r="J126" s="48"/>
      <c r="K126" s="48">
        <v>0</v>
      </c>
      <c r="L126" s="48"/>
      <c r="M126" s="48">
        <v>2111.4899999999998</v>
      </c>
      <c r="N126" s="48"/>
      <c r="O126" s="48">
        <v>2055.9699999999998</v>
      </c>
      <c r="P126" s="48"/>
      <c r="Q126" s="48">
        <v>8.98</v>
      </c>
      <c r="R126" s="48"/>
      <c r="S126" s="48">
        <v>0</v>
      </c>
      <c r="T126" s="48"/>
      <c r="U126" s="48">
        <v>0</v>
      </c>
      <c r="V126" s="48"/>
      <c r="W126" s="48">
        <v>0</v>
      </c>
      <c r="X126" s="48"/>
      <c r="Y126" s="48">
        <v>0</v>
      </c>
      <c r="Z126" s="48"/>
      <c r="AA126" s="48">
        <v>0</v>
      </c>
      <c r="AB126" s="48"/>
      <c r="AC126" s="48">
        <v>0</v>
      </c>
      <c r="AD126" s="48"/>
      <c r="AE126" s="48">
        <v>0</v>
      </c>
      <c r="AF126" s="48"/>
      <c r="AG126" s="48">
        <v>0</v>
      </c>
      <c r="AH126" s="19">
        <f t="shared" si="6"/>
        <v>46203.66</v>
      </c>
      <c r="AI126" s="48">
        <f t="shared" ref="AI126:AI160" si="7">SUM(E126:AG126)</f>
        <v>46203.66</v>
      </c>
      <c r="AJ126" s="17"/>
      <c r="AK126" s="67"/>
      <c r="AL126" s="67"/>
      <c r="AM126" s="67"/>
    </row>
    <row r="127" spans="1:39" ht="12" customHeight="1" x14ac:dyDescent="0.2">
      <c r="A127" s="1" t="s">
        <v>721</v>
      </c>
      <c r="C127" s="1" t="s">
        <v>433</v>
      </c>
      <c r="E127" s="48">
        <v>33494.42</v>
      </c>
      <c r="F127" s="48"/>
      <c r="G127" s="48">
        <v>0</v>
      </c>
      <c r="H127" s="48"/>
      <c r="I127" s="48">
        <v>21775.26</v>
      </c>
      <c r="J127" s="48"/>
      <c r="K127" s="48">
        <v>0</v>
      </c>
      <c r="L127" s="48"/>
      <c r="M127" s="48">
        <v>2221</v>
      </c>
      <c r="N127" s="48"/>
      <c r="O127" s="48">
        <v>200</v>
      </c>
      <c r="P127" s="48"/>
      <c r="Q127" s="48">
        <v>1523.94</v>
      </c>
      <c r="R127" s="48"/>
      <c r="S127" s="48">
        <v>2589.4499999999998</v>
      </c>
      <c r="T127" s="48"/>
      <c r="U127" s="48">
        <v>0</v>
      </c>
      <c r="V127" s="48"/>
      <c r="W127" s="48">
        <v>0</v>
      </c>
      <c r="X127" s="48"/>
      <c r="Y127" s="48">
        <v>1621</v>
      </c>
      <c r="Z127" s="48"/>
      <c r="AA127" s="48">
        <v>0</v>
      </c>
      <c r="AB127" s="48"/>
      <c r="AC127" s="48">
        <v>0</v>
      </c>
      <c r="AD127" s="48"/>
      <c r="AE127" s="48">
        <v>0</v>
      </c>
      <c r="AF127" s="48"/>
      <c r="AG127" s="48">
        <v>0</v>
      </c>
      <c r="AH127" s="19">
        <f t="shared" si="6"/>
        <v>63425.069999999992</v>
      </c>
      <c r="AI127" s="48">
        <f t="shared" si="7"/>
        <v>63425.069999999992</v>
      </c>
      <c r="AJ127" s="5"/>
      <c r="AK127" s="67"/>
      <c r="AL127" s="67"/>
      <c r="AM127" s="67"/>
    </row>
    <row r="128" spans="1:39" ht="12" customHeight="1" x14ac:dyDescent="0.2">
      <c r="A128" s="1" t="s">
        <v>766</v>
      </c>
      <c r="C128" s="1" t="s">
        <v>277</v>
      </c>
      <c r="E128" s="48">
        <v>2376</v>
      </c>
      <c r="F128" s="48"/>
      <c r="G128" s="48">
        <v>0</v>
      </c>
      <c r="H128" s="48"/>
      <c r="I128" s="48">
        <f>9465+3753</f>
        <v>13218</v>
      </c>
      <c r="J128" s="48"/>
      <c r="K128" s="48">
        <v>0</v>
      </c>
      <c r="L128" s="48"/>
      <c r="M128" s="48">
        <v>0</v>
      </c>
      <c r="N128" s="48"/>
      <c r="O128" s="48">
        <v>0</v>
      </c>
      <c r="P128" s="48"/>
      <c r="Q128" s="48">
        <v>27</v>
      </c>
      <c r="R128" s="48"/>
      <c r="S128" s="48">
        <v>2595</v>
      </c>
      <c r="T128" s="48"/>
      <c r="U128" s="48">
        <v>0</v>
      </c>
      <c r="V128" s="48"/>
      <c r="W128" s="48">
        <v>0</v>
      </c>
      <c r="X128" s="48"/>
      <c r="Y128" s="48">
        <v>0</v>
      </c>
      <c r="Z128" s="48"/>
      <c r="AA128" s="48">
        <v>0</v>
      </c>
      <c r="AB128" s="48"/>
      <c r="AC128" s="48">
        <v>0</v>
      </c>
      <c r="AD128" s="48"/>
      <c r="AE128" s="48">
        <v>0</v>
      </c>
      <c r="AF128" s="48"/>
      <c r="AG128" s="48">
        <v>0</v>
      </c>
      <c r="AH128" s="19">
        <f t="shared" si="6"/>
        <v>18216</v>
      </c>
      <c r="AI128" s="48">
        <f t="shared" si="7"/>
        <v>18216</v>
      </c>
      <c r="AJ128" s="5"/>
      <c r="AK128" s="67"/>
      <c r="AL128" s="67"/>
      <c r="AM128" s="67"/>
    </row>
    <row r="129" spans="1:39" ht="12" customHeight="1" x14ac:dyDescent="0.2">
      <c r="A129" s="1" t="s">
        <v>142</v>
      </c>
      <c r="C129" s="1" t="s">
        <v>823</v>
      </c>
      <c r="E129" s="48">
        <v>106136.28</v>
      </c>
      <c r="F129" s="48"/>
      <c r="G129" s="48">
        <v>0</v>
      </c>
      <c r="H129" s="48"/>
      <c r="I129" s="48">
        <v>49232.14</v>
      </c>
      <c r="J129" s="48"/>
      <c r="K129" s="48">
        <v>0</v>
      </c>
      <c r="L129" s="48"/>
      <c r="M129" s="48">
        <v>0</v>
      </c>
      <c r="N129" s="48"/>
      <c r="O129" s="48">
        <v>1085</v>
      </c>
      <c r="P129" s="48"/>
      <c r="Q129" s="48">
        <v>95.45</v>
      </c>
      <c r="R129" s="48"/>
      <c r="S129" s="48">
        <v>14309.42</v>
      </c>
      <c r="T129" s="48"/>
      <c r="U129" s="48">
        <v>0</v>
      </c>
      <c r="V129" s="48"/>
      <c r="W129" s="48">
        <v>0</v>
      </c>
      <c r="X129" s="48"/>
      <c r="Y129" s="48">
        <v>0</v>
      </c>
      <c r="Z129" s="48"/>
      <c r="AA129" s="48">
        <v>0</v>
      </c>
      <c r="AB129" s="48"/>
      <c r="AC129" s="48">
        <v>0</v>
      </c>
      <c r="AD129" s="48"/>
      <c r="AE129" s="48">
        <v>0</v>
      </c>
      <c r="AF129" s="48"/>
      <c r="AG129" s="48">
        <v>0</v>
      </c>
      <c r="AH129" s="19">
        <f t="shared" si="6"/>
        <v>170858.29</v>
      </c>
      <c r="AI129" s="48">
        <f t="shared" si="7"/>
        <v>170858.29</v>
      </c>
      <c r="AJ129" s="5"/>
      <c r="AK129" s="67"/>
      <c r="AL129" s="67"/>
      <c r="AM129" s="67"/>
    </row>
    <row r="130" spans="1:39" s="67" customFormat="1" ht="12" customHeight="1" x14ac:dyDescent="0.2">
      <c r="A130" s="1" t="s">
        <v>31</v>
      </c>
      <c r="B130" s="1"/>
      <c r="C130" s="1" t="s">
        <v>269</v>
      </c>
      <c r="D130" s="1"/>
      <c r="E130" s="48">
        <v>15040.63</v>
      </c>
      <c r="F130" s="48"/>
      <c r="G130" s="48">
        <v>0</v>
      </c>
      <c r="H130" s="48"/>
      <c r="I130" s="48">
        <v>14365.8</v>
      </c>
      <c r="J130" s="48"/>
      <c r="K130" s="48">
        <v>0</v>
      </c>
      <c r="L130" s="48"/>
      <c r="M130" s="48">
        <v>0</v>
      </c>
      <c r="N130" s="48"/>
      <c r="O130" s="48">
        <v>5</v>
      </c>
      <c r="P130" s="48"/>
      <c r="Q130" s="48">
        <v>457.58</v>
      </c>
      <c r="R130" s="48"/>
      <c r="S130" s="48">
        <v>646.17999999999995</v>
      </c>
      <c r="T130" s="48"/>
      <c r="U130" s="48">
        <v>0</v>
      </c>
      <c r="V130" s="48"/>
      <c r="W130" s="48">
        <v>0</v>
      </c>
      <c r="X130" s="48"/>
      <c r="Y130" s="48">
        <v>0</v>
      </c>
      <c r="Z130" s="48"/>
      <c r="AA130" s="48">
        <v>0</v>
      </c>
      <c r="AB130" s="48"/>
      <c r="AC130" s="48">
        <v>0</v>
      </c>
      <c r="AD130" s="48"/>
      <c r="AE130" s="48">
        <v>0</v>
      </c>
      <c r="AF130" s="48"/>
      <c r="AG130" s="48">
        <v>0</v>
      </c>
      <c r="AH130" s="19">
        <f t="shared" si="6"/>
        <v>30515.190000000002</v>
      </c>
      <c r="AI130" s="48">
        <f t="shared" si="7"/>
        <v>30515.190000000002</v>
      </c>
      <c r="AJ130" s="5"/>
    </row>
    <row r="131" spans="1:39" s="67" customFormat="1" ht="12" customHeight="1" x14ac:dyDescent="0.2">
      <c r="A131" s="1" t="s">
        <v>845</v>
      </c>
      <c r="B131" s="1"/>
      <c r="C131" s="1" t="s">
        <v>441</v>
      </c>
      <c r="D131" s="1"/>
      <c r="E131" s="48">
        <v>0</v>
      </c>
      <c r="F131" s="48"/>
      <c r="G131" s="48">
        <v>0</v>
      </c>
      <c r="H131" s="48"/>
      <c r="I131" s="48">
        <v>0</v>
      </c>
      <c r="J131" s="48"/>
      <c r="K131" s="48">
        <v>0</v>
      </c>
      <c r="L131" s="48"/>
      <c r="M131" s="48">
        <v>0</v>
      </c>
      <c r="N131" s="48"/>
      <c r="O131" s="48">
        <v>0</v>
      </c>
      <c r="P131" s="48"/>
      <c r="Q131" s="48">
        <v>0</v>
      </c>
      <c r="R131" s="48"/>
      <c r="S131" s="48">
        <v>301842</v>
      </c>
      <c r="T131" s="48"/>
      <c r="U131" s="48">
        <v>0</v>
      </c>
      <c r="V131" s="48"/>
      <c r="W131" s="48">
        <v>0</v>
      </c>
      <c r="X131" s="48"/>
      <c r="Y131" s="48">
        <v>0</v>
      </c>
      <c r="Z131" s="48"/>
      <c r="AA131" s="48">
        <v>10000</v>
      </c>
      <c r="AB131" s="48"/>
      <c r="AC131" s="48">
        <v>0</v>
      </c>
      <c r="AD131" s="48"/>
      <c r="AE131" s="48">
        <v>0</v>
      </c>
      <c r="AF131" s="48"/>
      <c r="AG131" s="48">
        <v>0</v>
      </c>
      <c r="AH131" s="19">
        <f t="shared" si="6"/>
        <v>311842</v>
      </c>
      <c r="AI131" s="48">
        <f t="shared" si="7"/>
        <v>311842</v>
      </c>
      <c r="AJ131" s="5"/>
      <c r="AK131" s="1"/>
      <c r="AL131" s="1"/>
      <c r="AM131" s="1"/>
    </row>
    <row r="132" spans="1:39" s="67" customFormat="1" ht="12" customHeight="1" x14ac:dyDescent="0.2">
      <c r="A132" s="1" t="s">
        <v>196</v>
      </c>
      <c r="B132" s="1"/>
      <c r="C132" s="1" t="s">
        <v>485</v>
      </c>
      <c r="D132" s="1"/>
      <c r="E132" s="48">
        <v>7532.59</v>
      </c>
      <c r="F132" s="48"/>
      <c r="G132" s="48">
        <v>0</v>
      </c>
      <c r="H132" s="48"/>
      <c r="I132" s="48">
        <v>24424.1</v>
      </c>
      <c r="J132" s="48"/>
      <c r="K132" s="48">
        <v>0</v>
      </c>
      <c r="L132" s="48"/>
      <c r="M132" s="48">
        <v>121</v>
      </c>
      <c r="N132" s="48"/>
      <c r="O132" s="48">
        <v>2971.67</v>
      </c>
      <c r="P132" s="48"/>
      <c r="Q132" s="48">
        <v>85.19</v>
      </c>
      <c r="R132" s="48"/>
      <c r="S132" s="48">
        <v>2616.63</v>
      </c>
      <c r="T132" s="48"/>
      <c r="U132" s="48">
        <v>0</v>
      </c>
      <c r="V132" s="48"/>
      <c r="W132" s="48">
        <v>0</v>
      </c>
      <c r="X132" s="48"/>
      <c r="Y132" s="48">
        <v>0</v>
      </c>
      <c r="Z132" s="48"/>
      <c r="AA132" s="48">
        <v>0</v>
      </c>
      <c r="AB132" s="48"/>
      <c r="AC132" s="48">
        <v>0</v>
      </c>
      <c r="AD132" s="48"/>
      <c r="AE132" s="48">
        <v>0</v>
      </c>
      <c r="AF132" s="48"/>
      <c r="AG132" s="48">
        <v>0</v>
      </c>
      <c r="AH132" s="19">
        <f t="shared" si="6"/>
        <v>37751.18</v>
      </c>
      <c r="AI132" s="48">
        <f t="shared" si="7"/>
        <v>37751.18</v>
      </c>
      <c r="AJ132" s="5"/>
      <c r="AK132" s="1"/>
      <c r="AL132" s="1"/>
      <c r="AM132" s="1"/>
    </row>
    <row r="133" spans="1:39" ht="12" customHeight="1" x14ac:dyDescent="0.2">
      <c r="A133" s="1" t="s">
        <v>165</v>
      </c>
      <c r="C133" s="1" t="s">
        <v>192</v>
      </c>
      <c r="E133" s="48">
        <v>8111.19</v>
      </c>
      <c r="F133" s="48"/>
      <c r="G133" s="48">
        <v>0</v>
      </c>
      <c r="H133" s="48"/>
      <c r="I133" s="48">
        <v>12730.07</v>
      </c>
      <c r="J133" s="48"/>
      <c r="K133" s="48">
        <v>0</v>
      </c>
      <c r="L133" s="48"/>
      <c r="M133" s="48">
        <v>4728</v>
      </c>
      <c r="N133" s="48"/>
      <c r="O133" s="48">
        <v>1184.47</v>
      </c>
      <c r="P133" s="48"/>
      <c r="Q133" s="48">
        <v>159.82</v>
      </c>
      <c r="R133" s="48"/>
      <c r="S133" s="48">
        <v>0</v>
      </c>
      <c r="T133" s="48"/>
      <c r="U133" s="48">
        <v>0</v>
      </c>
      <c r="V133" s="48"/>
      <c r="W133" s="48">
        <v>0</v>
      </c>
      <c r="X133" s="48"/>
      <c r="Y133" s="48">
        <v>0</v>
      </c>
      <c r="Z133" s="48"/>
      <c r="AA133" s="48">
        <v>45000</v>
      </c>
      <c r="AB133" s="48"/>
      <c r="AC133" s="48">
        <v>0</v>
      </c>
      <c r="AD133" s="48"/>
      <c r="AE133" s="48">
        <v>0</v>
      </c>
      <c r="AF133" s="48"/>
      <c r="AG133" s="48">
        <v>0</v>
      </c>
      <c r="AH133" s="19">
        <f t="shared" si="6"/>
        <v>71913.55</v>
      </c>
      <c r="AI133" s="48">
        <f t="shared" si="7"/>
        <v>71913.55</v>
      </c>
      <c r="AJ133" s="5"/>
    </row>
    <row r="134" spans="1:39" s="67" customFormat="1" ht="12" customHeight="1" x14ac:dyDescent="0.2">
      <c r="A134" s="1" t="s">
        <v>722</v>
      </c>
      <c r="B134" s="1"/>
      <c r="C134" s="1" t="s">
        <v>351</v>
      </c>
      <c r="D134" s="1"/>
      <c r="E134" s="48">
        <v>437382.89</v>
      </c>
      <c r="F134" s="48"/>
      <c r="G134" s="48">
        <v>0</v>
      </c>
      <c r="H134" s="48"/>
      <c r="I134" s="48">
        <v>177456.48</v>
      </c>
      <c r="J134" s="48"/>
      <c r="K134" s="48">
        <v>299743.71000000002</v>
      </c>
      <c r="L134" s="48"/>
      <c r="M134" s="48">
        <v>15030.04</v>
      </c>
      <c r="N134" s="48"/>
      <c r="O134" s="48">
        <v>117136.42</v>
      </c>
      <c r="P134" s="48"/>
      <c r="Q134" s="48">
        <v>866.52</v>
      </c>
      <c r="R134" s="48"/>
      <c r="S134" s="48">
        <v>78269.119999999995</v>
      </c>
      <c r="T134" s="48"/>
      <c r="U134" s="48">
        <v>0</v>
      </c>
      <c r="V134" s="48"/>
      <c r="W134" s="48">
        <v>0</v>
      </c>
      <c r="X134" s="48"/>
      <c r="Y134" s="48">
        <v>0</v>
      </c>
      <c r="Z134" s="48"/>
      <c r="AA134" s="48">
        <v>0</v>
      </c>
      <c r="AB134" s="48"/>
      <c r="AC134" s="48">
        <v>0</v>
      </c>
      <c r="AD134" s="48"/>
      <c r="AE134" s="48">
        <v>0</v>
      </c>
      <c r="AF134" s="48"/>
      <c r="AG134" s="48">
        <v>0</v>
      </c>
      <c r="AH134" s="19">
        <f t="shared" si="6"/>
        <v>1125885.1800000002</v>
      </c>
      <c r="AI134" s="48">
        <f t="shared" si="7"/>
        <v>1125885.1800000002</v>
      </c>
      <c r="AJ134" s="5"/>
      <c r="AK134" s="1"/>
      <c r="AL134" s="1"/>
      <c r="AM134" s="1"/>
    </row>
    <row r="135" spans="1:39" s="6" customFormat="1" ht="12" customHeight="1" x14ac:dyDescent="0.2">
      <c r="A135" s="1" t="s">
        <v>346</v>
      </c>
      <c r="B135" s="1"/>
      <c r="C135" s="1" t="s">
        <v>347</v>
      </c>
      <c r="D135" s="1"/>
      <c r="E135" s="48">
        <v>18740</v>
      </c>
      <c r="F135" s="48"/>
      <c r="G135" s="48">
        <v>0</v>
      </c>
      <c r="H135" s="48"/>
      <c r="I135" s="48">
        <v>2075</v>
      </c>
      <c r="J135" s="48"/>
      <c r="K135" s="48">
        <v>0</v>
      </c>
      <c r="L135" s="48"/>
      <c r="M135" s="48">
        <v>0</v>
      </c>
      <c r="N135" s="48"/>
      <c r="O135" s="48">
        <v>50</v>
      </c>
      <c r="P135" s="48"/>
      <c r="Q135" s="48">
        <v>5</v>
      </c>
      <c r="R135" s="48"/>
      <c r="S135" s="48">
        <f>64+7550</f>
        <v>7614</v>
      </c>
      <c r="T135" s="48"/>
      <c r="U135" s="48">
        <v>0</v>
      </c>
      <c r="V135" s="48"/>
      <c r="W135" s="48">
        <v>0</v>
      </c>
      <c r="X135" s="48"/>
      <c r="Y135" s="48">
        <v>0</v>
      </c>
      <c r="Z135" s="48"/>
      <c r="AA135" s="48">
        <v>0</v>
      </c>
      <c r="AB135" s="48"/>
      <c r="AC135" s="48">
        <v>0</v>
      </c>
      <c r="AD135" s="48"/>
      <c r="AE135" s="48">
        <v>0</v>
      </c>
      <c r="AF135" s="48"/>
      <c r="AG135" s="48">
        <v>0</v>
      </c>
      <c r="AH135" s="19">
        <f t="shared" si="6"/>
        <v>28484</v>
      </c>
      <c r="AI135" s="48">
        <f t="shared" si="7"/>
        <v>28484</v>
      </c>
      <c r="AJ135" s="5"/>
      <c r="AK135" s="67"/>
      <c r="AL135" s="67"/>
      <c r="AM135" s="67"/>
    </row>
    <row r="136" spans="1:39" ht="12" customHeight="1" x14ac:dyDescent="0.2">
      <c r="A136" s="1" t="s">
        <v>280</v>
      </c>
      <c r="C136" s="1" t="s">
        <v>511</v>
      </c>
      <c r="E136" s="48">
        <v>77710.179999999993</v>
      </c>
      <c r="F136" s="48"/>
      <c r="G136" s="48">
        <v>238992.87</v>
      </c>
      <c r="H136" s="48"/>
      <c r="I136" s="48">
        <v>87304.320000000007</v>
      </c>
      <c r="J136" s="48"/>
      <c r="K136" s="48">
        <v>0</v>
      </c>
      <c r="L136" s="48"/>
      <c r="M136" s="48">
        <v>1583.68</v>
      </c>
      <c r="N136" s="48"/>
      <c r="O136" s="48">
        <v>13584.26</v>
      </c>
      <c r="P136" s="48"/>
      <c r="Q136" s="48">
        <v>0</v>
      </c>
      <c r="R136" s="48"/>
      <c r="S136" s="48">
        <v>35848.97</v>
      </c>
      <c r="T136" s="48"/>
      <c r="U136" s="48">
        <v>0</v>
      </c>
      <c r="V136" s="48"/>
      <c r="W136" s="48">
        <v>0</v>
      </c>
      <c r="X136" s="48"/>
      <c r="Y136" s="48">
        <v>0</v>
      </c>
      <c r="Z136" s="48"/>
      <c r="AA136" s="48">
        <v>0</v>
      </c>
      <c r="AB136" s="48"/>
      <c r="AC136" s="48">
        <v>0</v>
      </c>
      <c r="AD136" s="48"/>
      <c r="AE136" s="48">
        <v>0</v>
      </c>
      <c r="AF136" s="48"/>
      <c r="AG136" s="48">
        <v>0</v>
      </c>
      <c r="AH136" s="19">
        <f t="shared" si="6"/>
        <v>455024.28</v>
      </c>
      <c r="AI136" s="48">
        <f t="shared" si="7"/>
        <v>455024.28</v>
      </c>
      <c r="AJ136" s="5"/>
    </row>
    <row r="137" spans="1:39" ht="12" customHeight="1" x14ac:dyDescent="0.2">
      <c r="A137" s="1" t="s">
        <v>117</v>
      </c>
      <c r="C137" s="1" t="s">
        <v>406</v>
      </c>
      <c r="E137" s="48">
        <v>39186.269999999997</v>
      </c>
      <c r="F137" s="48"/>
      <c r="G137" s="48">
        <v>242527.65</v>
      </c>
      <c r="H137" s="48"/>
      <c r="I137" s="48">
        <v>22014.37</v>
      </c>
      <c r="J137" s="48"/>
      <c r="K137" s="48">
        <v>0</v>
      </c>
      <c r="L137" s="48"/>
      <c r="M137" s="48">
        <v>1680</v>
      </c>
      <c r="N137" s="48"/>
      <c r="O137" s="48">
        <v>281883.76</v>
      </c>
      <c r="P137" s="48"/>
      <c r="Q137" s="48">
        <v>0</v>
      </c>
      <c r="R137" s="48"/>
      <c r="S137" s="48">
        <v>21650.71</v>
      </c>
      <c r="T137" s="48"/>
      <c r="U137" s="48">
        <v>0</v>
      </c>
      <c r="V137" s="48"/>
      <c r="W137" s="48">
        <v>0</v>
      </c>
      <c r="X137" s="48"/>
      <c r="Y137" s="48">
        <v>0</v>
      </c>
      <c r="Z137" s="48"/>
      <c r="AA137" s="48">
        <v>0</v>
      </c>
      <c r="AB137" s="48"/>
      <c r="AC137" s="48">
        <v>14000</v>
      </c>
      <c r="AD137" s="48"/>
      <c r="AE137" s="48">
        <v>0</v>
      </c>
      <c r="AF137" s="48"/>
      <c r="AG137" s="48">
        <v>0</v>
      </c>
      <c r="AH137" s="19">
        <f t="shared" si="6"/>
        <v>622942.76</v>
      </c>
      <c r="AI137" s="48">
        <f t="shared" si="7"/>
        <v>622942.76</v>
      </c>
      <c r="AJ137" s="5"/>
      <c r="AK137" s="67"/>
      <c r="AL137" s="67"/>
      <c r="AM137" s="67"/>
    </row>
    <row r="138" spans="1:39" ht="12" customHeight="1" x14ac:dyDescent="0.2">
      <c r="A138" s="1" t="s">
        <v>617</v>
      </c>
      <c r="C138" s="1" t="s">
        <v>850</v>
      </c>
      <c r="E138" s="48">
        <v>16579.16</v>
      </c>
      <c r="F138" s="48"/>
      <c r="G138" s="48">
        <v>0</v>
      </c>
      <c r="H138" s="48"/>
      <c r="I138" s="48">
        <v>39368.71</v>
      </c>
      <c r="J138" s="48"/>
      <c r="K138" s="48">
        <v>0</v>
      </c>
      <c r="L138" s="48"/>
      <c r="M138" s="48">
        <v>0</v>
      </c>
      <c r="N138" s="48"/>
      <c r="O138" s="48">
        <v>16452.330000000002</v>
      </c>
      <c r="P138" s="48"/>
      <c r="Q138" s="48">
        <v>0</v>
      </c>
      <c r="R138" s="48"/>
      <c r="S138" s="48">
        <v>2244.71</v>
      </c>
      <c r="T138" s="48"/>
      <c r="U138" s="48">
        <v>0</v>
      </c>
      <c r="V138" s="48"/>
      <c r="W138" s="48">
        <v>0</v>
      </c>
      <c r="X138" s="48"/>
      <c r="Y138" s="48">
        <v>0</v>
      </c>
      <c r="Z138" s="48"/>
      <c r="AA138" s="48">
        <v>0</v>
      </c>
      <c r="AB138" s="48"/>
      <c r="AC138" s="48">
        <v>0</v>
      </c>
      <c r="AD138" s="48"/>
      <c r="AE138" s="48">
        <v>0</v>
      </c>
      <c r="AF138" s="48"/>
      <c r="AG138" s="48">
        <v>9190.99</v>
      </c>
      <c r="AH138" s="19">
        <f t="shared" si="6"/>
        <v>74644.91</v>
      </c>
      <c r="AI138" s="48">
        <f t="shared" si="7"/>
        <v>83835.900000000009</v>
      </c>
      <c r="AJ138" s="5"/>
    </row>
    <row r="139" spans="1:39" ht="12" customHeight="1" x14ac:dyDescent="0.2">
      <c r="A139" s="1" t="s">
        <v>767</v>
      </c>
      <c r="C139" s="1" t="s">
        <v>433</v>
      </c>
      <c r="E139" s="48">
        <v>337306</v>
      </c>
      <c r="F139" s="48"/>
      <c r="G139" s="48">
        <v>1512542</v>
      </c>
      <c r="H139" s="48"/>
      <c r="I139" s="48">
        <v>162864</v>
      </c>
      <c r="J139" s="48"/>
      <c r="K139" s="48">
        <v>0</v>
      </c>
      <c r="L139" s="48"/>
      <c r="M139" s="48">
        <v>299965</v>
      </c>
      <c r="N139" s="48"/>
      <c r="O139" s="48">
        <v>13793</v>
      </c>
      <c r="P139" s="48"/>
      <c r="Q139" s="48">
        <v>650</v>
      </c>
      <c r="R139" s="48"/>
      <c r="S139" s="48">
        <v>24370</v>
      </c>
      <c r="T139" s="48"/>
      <c r="U139" s="48">
        <v>0</v>
      </c>
      <c r="V139" s="48"/>
      <c r="W139" s="48">
        <v>0</v>
      </c>
      <c r="X139" s="48"/>
      <c r="Y139" s="48">
        <v>0</v>
      </c>
      <c r="Z139" s="48"/>
      <c r="AA139" s="48">
        <v>0</v>
      </c>
      <c r="AB139" s="48"/>
      <c r="AC139" s="48">
        <v>0</v>
      </c>
      <c r="AD139" s="48"/>
      <c r="AE139" s="48">
        <v>80536</v>
      </c>
      <c r="AF139" s="48"/>
      <c r="AG139" s="48">
        <v>0</v>
      </c>
      <c r="AH139" s="19">
        <f t="shared" si="6"/>
        <v>2432026</v>
      </c>
      <c r="AI139" s="48">
        <f t="shared" si="7"/>
        <v>2432026</v>
      </c>
      <c r="AJ139" s="5"/>
      <c r="AK139" s="87"/>
      <c r="AL139" s="87"/>
      <c r="AM139" s="87"/>
    </row>
    <row r="140" spans="1:39" ht="12" customHeight="1" x14ac:dyDescent="0.2"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19"/>
      <c r="AI140" s="48"/>
      <c r="AJ140" s="5"/>
      <c r="AK140" s="87"/>
      <c r="AL140" s="87"/>
      <c r="AM140" s="87"/>
    </row>
    <row r="141" spans="1:39" ht="12" customHeight="1" x14ac:dyDescent="0.2"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19"/>
      <c r="AI141" s="88" t="s">
        <v>733</v>
      </c>
      <c r="AJ141" s="5"/>
      <c r="AK141" s="87"/>
      <c r="AL141" s="87"/>
      <c r="AM141" s="87"/>
    </row>
    <row r="142" spans="1:39" ht="12" customHeight="1" x14ac:dyDescent="0.2"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19"/>
      <c r="AI142" s="48"/>
      <c r="AJ142" s="5"/>
      <c r="AK142" s="87"/>
      <c r="AL142" s="87"/>
      <c r="AM142" s="87"/>
    </row>
    <row r="143" spans="1:39" ht="12" customHeight="1" x14ac:dyDescent="0.2">
      <c r="A143" s="1" t="s">
        <v>184</v>
      </c>
      <c r="C143" s="1" t="s">
        <v>472</v>
      </c>
      <c r="E143" s="68">
        <v>16472.86</v>
      </c>
      <c r="F143" s="48"/>
      <c r="G143" s="68">
        <v>0</v>
      </c>
      <c r="H143" s="68"/>
      <c r="I143" s="68">
        <v>19992.349999999999</v>
      </c>
      <c r="J143" s="68"/>
      <c r="K143" s="68">
        <v>0</v>
      </c>
      <c r="L143" s="68"/>
      <c r="M143" s="68">
        <v>25000</v>
      </c>
      <c r="N143" s="68"/>
      <c r="O143" s="68">
        <v>2860.24</v>
      </c>
      <c r="P143" s="68"/>
      <c r="Q143" s="68">
        <v>301.31</v>
      </c>
      <c r="R143" s="68"/>
      <c r="S143" s="68">
        <v>0</v>
      </c>
      <c r="T143" s="68"/>
      <c r="U143" s="68">
        <v>0</v>
      </c>
      <c r="V143" s="68"/>
      <c r="W143" s="68">
        <v>0</v>
      </c>
      <c r="X143" s="68"/>
      <c r="Y143" s="68">
        <v>0</v>
      </c>
      <c r="Z143" s="68"/>
      <c r="AA143" s="68">
        <v>0</v>
      </c>
      <c r="AB143" s="68"/>
      <c r="AC143" s="68">
        <v>0</v>
      </c>
      <c r="AD143" s="68"/>
      <c r="AE143" s="68">
        <v>0</v>
      </c>
      <c r="AF143" s="68"/>
      <c r="AG143" s="68">
        <v>0</v>
      </c>
      <c r="AH143" s="68">
        <f t="shared" si="6"/>
        <v>64626.759999999995</v>
      </c>
      <c r="AI143" s="68">
        <f t="shared" si="7"/>
        <v>64626.759999999995</v>
      </c>
      <c r="AJ143" s="5"/>
      <c r="AK143" s="4"/>
      <c r="AL143" s="4"/>
      <c r="AM143" s="4"/>
    </row>
    <row r="144" spans="1:39" s="6" customFormat="1" ht="12" customHeight="1" x14ac:dyDescent="0.2">
      <c r="A144" s="1" t="s">
        <v>856</v>
      </c>
      <c r="B144" s="1"/>
      <c r="C144" s="1" t="s">
        <v>467</v>
      </c>
      <c r="D144" s="1"/>
      <c r="E144" s="48">
        <v>58960.33</v>
      </c>
      <c r="F144" s="48"/>
      <c r="G144" s="48">
        <v>419521.15</v>
      </c>
      <c r="H144" s="48"/>
      <c r="I144" s="48">
        <v>23142.080000000002</v>
      </c>
      <c r="J144" s="48"/>
      <c r="K144" s="48">
        <v>0</v>
      </c>
      <c r="L144" s="48"/>
      <c r="M144" s="48">
        <v>0</v>
      </c>
      <c r="N144" s="48"/>
      <c r="O144" s="48">
        <v>17273.599999999999</v>
      </c>
      <c r="P144" s="48"/>
      <c r="Q144" s="48">
        <v>1642.58</v>
      </c>
      <c r="R144" s="48"/>
      <c r="S144" s="48">
        <v>9871.0400000000009</v>
      </c>
      <c r="T144" s="48"/>
      <c r="U144" s="48">
        <v>0</v>
      </c>
      <c r="V144" s="48"/>
      <c r="W144" s="48">
        <v>0</v>
      </c>
      <c r="X144" s="48"/>
      <c r="Y144" s="48">
        <v>0</v>
      </c>
      <c r="Z144" s="48"/>
      <c r="AA144" s="48">
        <v>0</v>
      </c>
      <c r="AB144" s="48"/>
      <c r="AC144" s="48">
        <v>0</v>
      </c>
      <c r="AD144" s="48"/>
      <c r="AE144" s="48">
        <v>0</v>
      </c>
      <c r="AF144" s="48"/>
      <c r="AG144" s="48">
        <v>0</v>
      </c>
      <c r="AH144" s="19">
        <f t="shared" si="6"/>
        <v>530410.78</v>
      </c>
      <c r="AI144" s="48">
        <f t="shared" si="7"/>
        <v>530410.78</v>
      </c>
      <c r="AJ144" s="5"/>
      <c r="AK144" s="67"/>
      <c r="AL144" s="67"/>
      <c r="AM144" s="67"/>
    </row>
    <row r="145" spans="1:39" ht="12" customHeight="1" x14ac:dyDescent="0.2">
      <c r="A145" s="1" t="s">
        <v>796</v>
      </c>
      <c r="C145" s="1" t="s">
        <v>547</v>
      </c>
      <c r="E145" s="48">
        <v>24802.91</v>
      </c>
      <c r="F145" s="48"/>
      <c r="G145" s="48">
        <v>0</v>
      </c>
      <c r="H145" s="48"/>
      <c r="I145" s="48">
        <v>5569.47</v>
      </c>
      <c r="J145" s="48"/>
      <c r="K145" s="48">
        <v>0</v>
      </c>
      <c r="L145" s="48"/>
      <c r="M145" s="48">
        <v>0</v>
      </c>
      <c r="N145" s="48"/>
      <c r="O145" s="48">
        <v>0</v>
      </c>
      <c r="P145" s="48"/>
      <c r="Q145" s="48">
        <v>0</v>
      </c>
      <c r="R145" s="48"/>
      <c r="S145" s="48">
        <v>1244.8800000000001</v>
      </c>
      <c r="T145" s="48"/>
      <c r="U145" s="48">
        <v>0</v>
      </c>
      <c r="V145" s="48"/>
      <c r="W145" s="48">
        <v>0</v>
      </c>
      <c r="X145" s="48"/>
      <c r="Y145" s="48">
        <v>0</v>
      </c>
      <c r="Z145" s="48"/>
      <c r="AA145" s="48">
        <v>0</v>
      </c>
      <c r="AB145" s="48"/>
      <c r="AC145" s="48">
        <v>0</v>
      </c>
      <c r="AD145" s="48"/>
      <c r="AE145" s="48">
        <v>0</v>
      </c>
      <c r="AF145" s="48"/>
      <c r="AG145" s="48">
        <v>0</v>
      </c>
      <c r="AH145" s="19">
        <f t="shared" si="6"/>
        <v>31617.260000000002</v>
      </c>
      <c r="AI145" s="48">
        <f t="shared" si="7"/>
        <v>31617.260000000002</v>
      </c>
      <c r="AJ145" s="5"/>
    </row>
    <row r="146" spans="1:39" s="67" customFormat="1" ht="12" customHeight="1" x14ac:dyDescent="0.2">
      <c r="A146" s="1" t="s">
        <v>187</v>
      </c>
      <c r="B146" s="1"/>
      <c r="C146" s="1" t="s">
        <v>476</v>
      </c>
      <c r="D146" s="1"/>
      <c r="E146" s="48">
        <v>67736.52</v>
      </c>
      <c r="F146" s="48"/>
      <c r="G146" s="48">
        <v>157007.31</v>
      </c>
      <c r="H146" s="48"/>
      <c r="I146" s="48">
        <v>96982.87</v>
      </c>
      <c r="J146" s="48"/>
      <c r="K146" s="48">
        <v>0</v>
      </c>
      <c r="L146" s="48"/>
      <c r="M146" s="48">
        <v>59608.87</v>
      </c>
      <c r="N146" s="48"/>
      <c r="O146" s="48">
        <v>3198.89</v>
      </c>
      <c r="P146" s="48"/>
      <c r="Q146" s="48">
        <v>73.33</v>
      </c>
      <c r="R146" s="48"/>
      <c r="S146" s="48">
        <v>26062.37</v>
      </c>
      <c r="T146" s="48"/>
      <c r="U146" s="48">
        <v>0</v>
      </c>
      <c r="V146" s="48"/>
      <c r="W146" s="48">
        <v>0</v>
      </c>
      <c r="X146" s="48"/>
      <c r="Y146" s="48">
        <v>2219.7600000000002</v>
      </c>
      <c r="Z146" s="48"/>
      <c r="AA146" s="48">
        <v>0</v>
      </c>
      <c r="AB146" s="48"/>
      <c r="AC146" s="48">
        <v>90049</v>
      </c>
      <c r="AD146" s="48"/>
      <c r="AE146" s="48">
        <v>171.36</v>
      </c>
      <c r="AF146" s="48"/>
      <c r="AG146" s="48">
        <v>0</v>
      </c>
      <c r="AH146" s="19">
        <f t="shared" si="6"/>
        <v>503110.28</v>
      </c>
      <c r="AI146" s="48">
        <f t="shared" si="7"/>
        <v>503110.28</v>
      </c>
      <c r="AJ146" s="5"/>
      <c r="AK146" s="1"/>
      <c r="AL146" s="1"/>
      <c r="AM146" s="1"/>
    </row>
    <row r="147" spans="1:39" s="67" customFormat="1" ht="12" customHeight="1" x14ac:dyDescent="0.2">
      <c r="A147" s="1" t="s">
        <v>223</v>
      </c>
      <c r="B147" s="1"/>
      <c r="C147" s="1" t="s">
        <v>532</v>
      </c>
      <c r="D147" s="1"/>
      <c r="E147" s="48">
        <v>54465.37</v>
      </c>
      <c r="F147" s="48"/>
      <c r="G147" s="48">
        <v>139197.84</v>
      </c>
      <c r="H147" s="48"/>
      <c r="I147" s="48">
        <v>42681.32</v>
      </c>
      <c r="J147" s="48"/>
      <c r="K147" s="48">
        <v>0</v>
      </c>
      <c r="L147" s="48"/>
      <c r="M147" s="48">
        <v>75671.88</v>
      </c>
      <c r="N147" s="48"/>
      <c r="O147" s="48">
        <v>813</v>
      </c>
      <c r="P147" s="48"/>
      <c r="Q147" s="48">
        <v>4433.3999999999996</v>
      </c>
      <c r="R147" s="48"/>
      <c r="S147" s="48">
        <v>15515.84</v>
      </c>
      <c r="T147" s="48"/>
      <c r="U147" s="48">
        <v>0</v>
      </c>
      <c r="V147" s="48"/>
      <c r="W147" s="48">
        <v>0</v>
      </c>
      <c r="X147" s="48"/>
      <c r="Y147" s="48">
        <v>0</v>
      </c>
      <c r="Z147" s="48"/>
      <c r="AA147" s="48">
        <v>0</v>
      </c>
      <c r="AB147" s="48"/>
      <c r="AC147" s="48">
        <v>0</v>
      </c>
      <c r="AD147" s="48"/>
      <c r="AE147" s="48">
        <v>0</v>
      </c>
      <c r="AF147" s="48"/>
      <c r="AG147" s="48">
        <v>0</v>
      </c>
      <c r="AH147" s="19">
        <f t="shared" si="6"/>
        <v>332778.65000000008</v>
      </c>
      <c r="AI147" s="48">
        <f t="shared" si="7"/>
        <v>332778.65000000008</v>
      </c>
      <c r="AJ147" s="5"/>
      <c r="AK147" s="1"/>
      <c r="AL147" s="1"/>
      <c r="AM147" s="1"/>
    </row>
    <row r="148" spans="1:39" ht="12" customHeight="1" x14ac:dyDescent="0.2">
      <c r="A148" s="1" t="s">
        <v>797</v>
      </c>
      <c r="C148" s="1" t="s">
        <v>253</v>
      </c>
      <c r="E148" s="48">
        <v>14323.17</v>
      </c>
      <c r="F148" s="48"/>
      <c r="G148" s="48">
        <v>0</v>
      </c>
      <c r="H148" s="48"/>
      <c r="I148" s="48">
        <v>32046.51</v>
      </c>
      <c r="J148" s="48"/>
      <c r="K148" s="48">
        <v>0</v>
      </c>
      <c r="L148" s="48"/>
      <c r="M148" s="48">
        <v>6789.83</v>
      </c>
      <c r="N148" s="48"/>
      <c r="O148" s="48">
        <v>3946.28</v>
      </c>
      <c r="P148" s="48"/>
      <c r="Q148" s="48">
        <v>53.83</v>
      </c>
      <c r="R148" s="48"/>
      <c r="S148" s="48">
        <v>0</v>
      </c>
      <c r="T148" s="48"/>
      <c r="U148" s="48">
        <v>0</v>
      </c>
      <c r="V148" s="48"/>
      <c r="W148" s="48">
        <v>0</v>
      </c>
      <c r="X148" s="48"/>
      <c r="Y148" s="48">
        <v>0</v>
      </c>
      <c r="Z148" s="48"/>
      <c r="AA148" s="48">
        <v>0</v>
      </c>
      <c r="AB148" s="48"/>
      <c r="AC148" s="48">
        <v>0</v>
      </c>
      <c r="AD148" s="48"/>
      <c r="AE148" s="48">
        <v>0</v>
      </c>
      <c r="AF148" s="48"/>
      <c r="AG148" s="48">
        <v>0</v>
      </c>
      <c r="AH148" s="19">
        <f t="shared" si="6"/>
        <v>57159.62</v>
      </c>
      <c r="AI148" s="48">
        <f t="shared" si="7"/>
        <v>57159.62</v>
      </c>
      <c r="AJ148" s="5"/>
      <c r="AK148" s="67"/>
      <c r="AL148" s="67"/>
      <c r="AM148" s="67"/>
    </row>
    <row r="149" spans="1:39" s="14" customFormat="1" ht="12" customHeight="1" x14ac:dyDescent="0.2">
      <c r="A149" s="1" t="s">
        <v>172</v>
      </c>
      <c r="B149" s="1"/>
      <c r="C149" s="1" t="s">
        <v>464</v>
      </c>
      <c r="D149" s="1"/>
      <c r="E149" s="48">
        <v>38022.870000000003</v>
      </c>
      <c r="F149" s="48"/>
      <c r="G149" s="48">
        <v>0</v>
      </c>
      <c r="H149" s="48"/>
      <c r="I149" s="48">
        <v>19088.61</v>
      </c>
      <c r="J149" s="48"/>
      <c r="K149" s="48">
        <v>0</v>
      </c>
      <c r="L149" s="48"/>
      <c r="M149" s="48">
        <v>0</v>
      </c>
      <c r="N149" s="48"/>
      <c r="O149" s="48">
        <v>170</v>
      </c>
      <c r="P149" s="48"/>
      <c r="Q149" s="48">
        <v>802.5</v>
      </c>
      <c r="R149" s="48"/>
      <c r="S149" s="48">
        <v>1720.52</v>
      </c>
      <c r="T149" s="48"/>
      <c r="U149" s="48">
        <v>0</v>
      </c>
      <c r="V149" s="48"/>
      <c r="W149" s="48">
        <v>0</v>
      </c>
      <c r="X149" s="48"/>
      <c r="Y149" s="48">
        <v>0</v>
      </c>
      <c r="Z149" s="48"/>
      <c r="AA149" s="48">
        <v>0</v>
      </c>
      <c r="AB149" s="48"/>
      <c r="AC149" s="48">
        <v>0</v>
      </c>
      <c r="AD149" s="48"/>
      <c r="AE149" s="48">
        <v>0</v>
      </c>
      <c r="AF149" s="48"/>
      <c r="AG149" s="48">
        <v>0</v>
      </c>
      <c r="AH149" s="19">
        <f t="shared" si="6"/>
        <v>59804.5</v>
      </c>
      <c r="AI149" s="48">
        <f t="shared" si="7"/>
        <v>59804.5</v>
      </c>
      <c r="AJ149" s="5"/>
      <c r="AK149" s="1"/>
      <c r="AL149" s="1"/>
      <c r="AM149" s="1"/>
    </row>
    <row r="150" spans="1:39" s="14" customFormat="1" ht="12" customHeight="1" x14ac:dyDescent="0.2">
      <c r="A150" s="1" t="s">
        <v>539</v>
      </c>
      <c r="B150" s="1"/>
      <c r="C150" s="1" t="s">
        <v>541</v>
      </c>
      <c r="D150" s="1"/>
      <c r="E150" s="48">
        <v>82641</v>
      </c>
      <c r="F150" s="48"/>
      <c r="G150" s="48">
        <v>25908</v>
      </c>
      <c r="H150" s="48"/>
      <c r="I150" s="48">
        <v>5397</v>
      </c>
      <c r="J150" s="48"/>
      <c r="K150" s="48">
        <v>0</v>
      </c>
      <c r="L150" s="48"/>
      <c r="M150" s="48">
        <v>0</v>
      </c>
      <c r="N150" s="48"/>
      <c r="O150" s="48">
        <v>5270</v>
      </c>
      <c r="P150" s="48"/>
      <c r="Q150" s="48">
        <v>380</v>
      </c>
      <c r="R150" s="48"/>
      <c r="S150" s="48">
        <v>0</v>
      </c>
      <c r="T150" s="48"/>
      <c r="U150" s="48">
        <v>0</v>
      </c>
      <c r="V150" s="48"/>
      <c r="W150" s="48">
        <v>0</v>
      </c>
      <c r="X150" s="48"/>
      <c r="Y150" s="48">
        <v>0</v>
      </c>
      <c r="Z150" s="48"/>
      <c r="AA150" s="48">
        <v>0</v>
      </c>
      <c r="AB150" s="48"/>
      <c r="AC150" s="48">
        <v>0</v>
      </c>
      <c r="AD150" s="48"/>
      <c r="AE150" s="48">
        <v>0</v>
      </c>
      <c r="AF150" s="48"/>
      <c r="AG150" s="48">
        <v>0</v>
      </c>
      <c r="AH150" s="19">
        <f t="shared" si="6"/>
        <v>119596</v>
      </c>
      <c r="AI150" s="48">
        <f t="shared" si="7"/>
        <v>119596</v>
      </c>
      <c r="AJ150" s="5"/>
      <c r="AK150" s="67"/>
      <c r="AL150" s="67"/>
      <c r="AM150" s="67"/>
    </row>
    <row r="151" spans="1:39" s="14" customFormat="1" ht="12" customHeight="1" x14ac:dyDescent="0.2">
      <c r="A151" s="1" t="s">
        <v>768</v>
      </c>
      <c r="B151" s="1"/>
      <c r="C151" s="1" t="s">
        <v>437</v>
      </c>
      <c r="D151" s="1"/>
      <c r="E151" s="48">
        <v>237364</v>
      </c>
      <c r="F151" s="48"/>
      <c r="G151" s="48">
        <v>600357</v>
      </c>
      <c r="H151" s="48"/>
      <c r="I151" s="48">
        <v>81726</v>
      </c>
      <c r="J151" s="48"/>
      <c r="K151" s="48">
        <v>0</v>
      </c>
      <c r="L151" s="48"/>
      <c r="M151" s="48">
        <v>1259</v>
      </c>
      <c r="N151" s="48"/>
      <c r="O151" s="48">
        <v>27428</v>
      </c>
      <c r="P151" s="48"/>
      <c r="Q151" s="48">
        <v>139</v>
      </c>
      <c r="R151" s="48"/>
      <c r="S151" s="48">
        <v>44165</v>
      </c>
      <c r="T151" s="48"/>
      <c r="U151" s="48">
        <v>0</v>
      </c>
      <c r="V151" s="48"/>
      <c r="W151" s="48">
        <v>0</v>
      </c>
      <c r="X151" s="48"/>
      <c r="Y151" s="48">
        <v>0</v>
      </c>
      <c r="Z151" s="48"/>
      <c r="AA151" s="48">
        <v>0</v>
      </c>
      <c r="AB151" s="48"/>
      <c r="AC151" s="48">
        <v>0</v>
      </c>
      <c r="AD151" s="48"/>
      <c r="AE151" s="48">
        <v>0</v>
      </c>
      <c r="AF151" s="48"/>
      <c r="AG151" s="48">
        <v>0</v>
      </c>
      <c r="AH151" s="19">
        <f t="shared" si="6"/>
        <v>992438</v>
      </c>
      <c r="AI151" s="48">
        <f t="shared" si="7"/>
        <v>992438</v>
      </c>
      <c r="AJ151" s="8"/>
      <c r="AK151" s="15"/>
      <c r="AL151" s="15"/>
      <c r="AM151" s="15"/>
    </row>
    <row r="152" spans="1:39" s="67" customFormat="1" ht="12" customHeight="1" x14ac:dyDescent="0.2">
      <c r="A152" s="1" t="s">
        <v>135</v>
      </c>
      <c r="B152" s="1"/>
      <c r="C152" s="1" t="s">
        <v>429</v>
      </c>
      <c r="D152" s="1"/>
      <c r="E152" s="48">
        <v>35543.019999999997</v>
      </c>
      <c r="F152" s="48"/>
      <c r="G152" s="48">
        <v>0</v>
      </c>
      <c r="H152" s="48"/>
      <c r="I152" s="48">
        <v>12133.46</v>
      </c>
      <c r="J152" s="48"/>
      <c r="K152" s="48">
        <v>0</v>
      </c>
      <c r="L152" s="48"/>
      <c r="M152" s="48">
        <v>0</v>
      </c>
      <c r="N152" s="48"/>
      <c r="O152" s="48">
        <v>42295.42</v>
      </c>
      <c r="P152" s="48"/>
      <c r="Q152" s="48">
        <v>60.93</v>
      </c>
      <c r="R152" s="48"/>
      <c r="S152" s="48">
        <v>111</v>
      </c>
      <c r="T152" s="48"/>
      <c r="U152" s="48">
        <v>0</v>
      </c>
      <c r="V152" s="48"/>
      <c r="W152" s="48">
        <v>0</v>
      </c>
      <c r="X152" s="48"/>
      <c r="Y152" s="48">
        <v>135</v>
      </c>
      <c r="Z152" s="48"/>
      <c r="AA152" s="48">
        <v>0</v>
      </c>
      <c r="AB152" s="48"/>
      <c r="AC152" s="48">
        <v>0</v>
      </c>
      <c r="AD152" s="48"/>
      <c r="AE152" s="48">
        <v>0</v>
      </c>
      <c r="AF152" s="48"/>
      <c r="AG152" s="48">
        <v>1418.87</v>
      </c>
      <c r="AH152" s="19">
        <f t="shared" si="6"/>
        <v>90278.829999999987</v>
      </c>
      <c r="AI152" s="48">
        <f t="shared" si="7"/>
        <v>91697.699999999983</v>
      </c>
      <c r="AJ152" s="5"/>
      <c r="AK152" s="1"/>
      <c r="AL152" s="1"/>
      <c r="AM152" s="1"/>
    </row>
    <row r="153" spans="1:39" s="67" customFormat="1" ht="12" customHeight="1" x14ac:dyDescent="0.2">
      <c r="A153" s="1" t="s">
        <v>826</v>
      </c>
      <c r="B153" s="1"/>
      <c r="C153" s="1" t="s">
        <v>289</v>
      </c>
      <c r="D153" s="1"/>
      <c r="E153" s="48">
        <v>136022</v>
      </c>
      <c r="F153" s="48"/>
      <c r="G153" s="48">
        <v>887295</v>
      </c>
      <c r="H153" s="48"/>
      <c r="I153" s="48">
        <v>184059</v>
      </c>
      <c r="J153" s="48"/>
      <c r="K153" s="48">
        <v>0</v>
      </c>
      <c r="L153" s="48"/>
      <c r="M153" s="48">
        <v>96041</v>
      </c>
      <c r="N153" s="48"/>
      <c r="O153" s="48">
        <f>60017+71794</f>
        <v>131811</v>
      </c>
      <c r="P153" s="48"/>
      <c r="Q153" s="48">
        <v>10053</v>
      </c>
      <c r="R153" s="48"/>
      <c r="S153" s="48">
        <f>5450+50+51526</f>
        <v>57026</v>
      </c>
      <c r="T153" s="48"/>
      <c r="U153" s="48">
        <v>0</v>
      </c>
      <c r="V153" s="48"/>
      <c r="W153" s="48">
        <v>0</v>
      </c>
      <c r="X153" s="48"/>
      <c r="Y153" s="48">
        <v>0</v>
      </c>
      <c r="Z153" s="48"/>
      <c r="AA153" s="48">
        <v>0</v>
      </c>
      <c r="AB153" s="48"/>
      <c r="AC153" s="48">
        <v>0</v>
      </c>
      <c r="AD153" s="48"/>
      <c r="AE153" s="48">
        <v>0</v>
      </c>
      <c r="AF153" s="48"/>
      <c r="AG153" s="48">
        <v>0</v>
      </c>
      <c r="AH153" s="19">
        <f t="shared" si="6"/>
        <v>1502307</v>
      </c>
      <c r="AI153" s="48">
        <f t="shared" si="7"/>
        <v>1502307</v>
      </c>
      <c r="AJ153" s="17"/>
      <c r="AK153" s="1"/>
      <c r="AL153" s="1"/>
      <c r="AM153" s="1"/>
    </row>
    <row r="154" spans="1:39" s="67" customFormat="1" ht="12" customHeight="1" x14ac:dyDescent="0.2">
      <c r="A154" s="1" t="s">
        <v>548</v>
      </c>
      <c r="B154" s="1"/>
      <c r="C154" s="1" t="s">
        <v>547</v>
      </c>
      <c r="D154" s="1"/>
      <c r="E154" s="48">
        <v>74307.86</v>
      </c>
      <c r="F154" s="48"/>
      <c r="G154" s="48">
        <v>246509.44</v>
      </c>
      <c r="H154" s="48"/>
      <c r="I154" s="48">
        <v>60672.54</v>
      </c>
      <c r="J154" s="48"/>
      <c r="K154" s="48">
        <v>0</v>
      </c>
      <c r="L154" s="48"/>
      <c r="M154" s="48">
        <v>0</v>
      </c>
      <c r="N154" s="48"/>
      <c r="O154" s="48">
        <v>24910</v>
      </c>
      <c r="P154" s="48"/>
      <c r="Q154" s="48">
        <v>2886.51</v>
      </c>
      <c r="R154" s="48"/>
      <c r="S154" s="48">
        <v>11163.63</v>
      </c>
      <c r="T154" s="48"/>
      <c r="U154" s="48">
        <v>0</v>
      </c>
      <c r="V154" s="48"/>
      <c r="W154" s="48">
        <v>0</v>
      </c>
      <c r="X154" s="48"/>
      <c r="Y154" s="48">
        <v>0</v>
      </c>
      <c r="Z154" s="48"/>
      <c r="AA154" s="48">
        <v>0</v>
      </c>
      <c r="AB154" s="48"/>
      <c r="AC154" s="48">
        <v>0</v>
      </c>
      <c r="AD154" s="48"/>
      <c r="AE154" s="48">
        <v>0</v>
      </c>
      <c r="AF154" s="48"/>
      <c r="AG154" s="48">
        <v>0</v>
      </c>
      <c r="AH154" s="19">
        <f t="shared" si="6"/>
        <v>420449.98</v>
      </c>
      <c r="AI154" s="48">
        <f t="shared" si="7"/>
        <v>420449.98</v>
      </c>
      <c r="AJ154" s="17"/>
      <c r="AK154" s="1"/>
      <c r="AL154" s="1"/>
      <c r="AM154" s="1"/>
    </row>
    <row r="155" spans="1:39" s="14" customFormat="1" ht="12" customHeight="1" x14ac:dyDescent="0.2">
      <c r="A155" s="1" t="s">
        <v>256</v>
      </c>
      <c r="B155" s="1"/>
      <c r="C155" s="1" t="s">
        <v>257</v>
      </c>
      <c r="D155" s="1"/>
      <c r="E155" s="48">
        <v>84956</v>
      </c>
      <c r="F155" s="48"/>
      <c r="G155" s="48">
        <v>311994</v>
      </c>
      <c r="H155" s="48"/>
      <c r="I155" s="48">
        <v>476365</v>
      </c>
      <c r="J155" s="48"/>
      <c r="K155" s="48">
        <v>0</v>
      </c>
      <c r="L155" s="48"/>
      <c r="M155" s="48">
        <v>50099</v>
      </c>
      <c r="N155" s="48"/>
      <c r="O155" s="48">
        <v>0</v>
      </c>
      <c r="P155" s="48"/>
      <c r="Q155" s="48">
        <v>512</v>
      </c>
      <c r="R155" s="48"/>
      <c r="S155" s="48">
        <v>37831</v>
      </c>
      <c r="T155" s="48"/>
      <c r="U155" s="48">
        <v>0</v>
      </c>
      <c r="V155" s="48"/>
      <c r="W155" s="48">
        <v>0</v>
      </c>
      <c r="X155" s="48"/>
      <c r="Y155" s="48">
        <v>0</v>
      </c>
      <c r="Z155" s="48"/>
      <c r="AA155" s="48">
        <v>0</v>
      </c>
      <c r="AB155" s="48"/>
      <c r="AC155" s="48">
        <v>0</v>
      </c>
      <c r="AD155" s="48"/>
      <c r="AE155" s="48">
        <v>0</v>
      </c>
      <c r="AF155" s="48"/>
      <c r="AG155" s="48">
        <v>0</v>
      </c>
      <c r="AH155" s="19">
        <f t="shared" si="6"/>
        <v>961757</v>
      </c>
      <c r="AI155" s="48">
        <f t="shared" si="7"/>
        <v>961757</v>
      </c>
      <c r="AJ155" s="17"/>
      <c r="AK155" s="1"/>
      <c r="AL155" s="1"/>
      <c r="AM155" s="1"/>
    </row>
    <row r="156" spans="1:39" s="67" customFormat="1" ht="12" customHeight="1" x14ac:dyDescent="0.2">
      <c r="A156" s="1" t="s">
        <v>463</v>
      </c>
      <c r="B156" s="1"/>
      <c r="C156" s="1" t="s">
        <v>464</v>
      </c>
      <c r="D156" s="1"/>
      <c r="E156" s="48">
        <v>28027</v>
      </c>
      <c r="F156" s="48"/>
      <c r="G156" s="48">
        <v>0</v>
      </c>
      <c r="H156" s="48"/>
      <c r="I156" s="48">
        <f>52370+800</f>
        <v>53170</v>
      </c>
      <c r="J156" s="48"/>
      <c r="K156" s="48">
        <v>0</v>
      </c>
      <c r="L156" s="48"/>
      <c r="M156" s="48">
        <v>18778</v>
      </c>
      <c r="N156" s="48"/>
      <c r="O156" s="48">
        <v>32470</v>
      </c>
      <c r="P156" s="48"/>
      <c r="Q156" s="48">
        <v>891</v>
      </c>
      <c r="R156" s="48"/>
      <c r="S156" s="48">
        <v>0</v>
      </c>
      <c r="T156" s="48"/>
      <c r="U156" s="48">
        <v>0</v>
      </c>
      <c r="V156" s="48"/>
      <c r="W156" s="48">
        <v>0</v>
      </c>
      <c r="X156" s="48"/>
      <c r="Y156" s="48">
        <v>0</v>
      </c>
      <c r="Z156" s="48"/>
      <c r="AA156" s="48">
        <v>0</v>
      </c>
      <c r="AB156" s="48"/>
      <c r="AC156" s="48">
        <v>0</v>
      </c>
      <c r="AD156" s="48"/>
      <c r="AE156" s="48">
        <v>299000</v>
      </c>
      <c r="AF156" s="48"/>
      <c r="AG156" s="48">
        <v>0</v>
      </c>
      <c r="AH156" s="19">
        <f t="shared" si="6"/>
        <v>432336</v>
      </c>
      <c r="AI156" s="48">
        <f t="shared" si="7"/>
        <v>432336</v>
      </c>
      <c r="AJ156" s="17"/>
      <c r="AK156" s="1"/>
      <c r="AL156" s="1"/>
      <c r="AM156" s="1"/>
    </row>
    <row r="157" spans="1:39" s="67" customFormat="1" ht="12" customHeight="1" x14ac:dyDescent="0.2">
      <c r="A157" s="1" t="s">
        <v>75</v>
      </c>
      <c r="B157" s="1"/>
      <c r="C157" s="1" t="s">
        <v>338</v>
      </c>
      <c r="D157" s="1"/>
      <c r="E157" s="48">
        <v>2152.79</v>
      </c>
      <c r="F157" s="48"/>
      <c r="G157" s="48">
        <v>0</v>
      </c>
      <c r="H157" s="48"/>
      <c r="I157" s="48">
        <v>49031.67</v>
      </c>
      <c r="J157" s="48"/>
      <c r="K157" s="48">
        <v>0</v>
      </c>
      <c r="L157" s="48"/>
      <c r="M157" s="48">
        <v>342.25</v>
      </c>
      <c r="N157" s="48"/>
      <c r="O157" s="48">
        <v>2466.09</v>
      </c>
      <c r="P157" s="48"/>
      <c r="Q157" s="48">
        <v>108.48</v>
      </c>
      <c r="R157" s="48"/>
      <c r="S157" s="48">
        <v>110</v>
      </c>
      <c r="T157" s="48"/>
      <c r="U157" s="48">
        <v>0</v>
      </c>
      <c r="V157" s="48"/>
      <c r="W157" s="48">
        <v>0</v>
      </c>
      <c r="X157" s="48"/>
      <c r="Y157" s="48">
        <v>0</v>
      </c>
      <c r="Z157" s="48"/>
      <c r="AA157" s="48">
        <v>0</v>
      </c>
      <c r="AB157" s="48"/>
      <c r="AC157" s="48">
        <v>0</v>
      </c>
      <c r="AD157" s="48"/>
      <c r="AE157" s="48">
        <v>0</v>
      </c>
      <c r="AF157" s="48"/>
      <c r="AG157" s="48">
        <v>0</v>
      </c>
      <c r="AH157" s="19">
        <f t="shared" si="6"/>
        <v>54211.280000000006</v>
      </c>
      <c r="AI157" s="48">
        <f t="shared" si="7"/>
        <v>54211.280000000006</v>
      </c>
      <c r="AJ157" s="17"/>
      <c r="AK157" s="1"/>
      <c r="AL157" s="1"/>
      <c r="AM157" s="1"/>
    </row>
    <row r="158" spans="1:39" s="14" customFormat="1" ht="12" customHeight="1" x14ac:dyDescent="0.2">
      <c r="A158" s="1" t="s">
        <v>82</v>
      </c>
      <c r="B158" s="1"/>
      <c r="C158" s="1" t="s">
        <v>349</v>
      </c>
      <c r="D158" s="1"/>
      <c r="E158" s="48">
        <v>17215.59</v>
      </c>
      <c r="F158" s="48"/>
      <c r="G158" s="48">
        <v>0</v>
      </c>
      <c r="H158" s="48"/>
      <c r="I158" s="48">
        <v>11598.26</v>
      </c>
      <c r="J158" s="48"/>
      <c r="K158" s="48">
        <v>0</v>
      </c>
      <c r="L158" s="48"/>
      <c r="M158" s="48">
        <v>0</v>
      </c>
      <c r="N158" s="48"/>
      <c r="O158" s="48">
        <v>0</v>
      </c>
      <c r="P158" s="48"/>
      <c r="Q158" s="48">
        <v>331.19</v>
      </c>
      <c r="R158" s="48"/>
      <c r="S158" s="48">
        <v>1451.15</v>
      </c>
      <c r="T158" s="48"/>
      <c r="U158" s="48">
        <v>0</v>
      </c>
      <c r="V158" s="48"/>
      <c r="W158" s="48">
        <v>0</v>
      </c>
      <c r="X158" s="48"/>
      <c r="Y158" s="48">
        <v>0</v>
      </c>
      <c r="Z158" s="48"/>
      <c r="AA158" s="48">
        <v>5000</v>
      </c>
      <c r="AB158" s="48"/>
      <c r="AC158" s="48">
        <v>0</v>
      </c>
      <c r="AD158" s="48"/>
      <c r="AE158" s="48">
        <v>0</v>
      </c>
      <c r="AF158" s="48"/>
      <c r="AG158" s="48">
        <v>0</v>
      </c>
      <c r="AH158" s="19">
        <f t="shared" si="6"/>
        <v>35596.19</v>
      </c>
      <c r="AI158" s="48">
        <f t="shared" si="7"/>
        <v>35596.19</v>
      </c>
      <c r="AJ158" s="17"/>
      <c r="AK158" s="1"/>
      <c r="AL158" s="1"/>
      <c r="AM158" s="1"/>
    </row>
    <row r="159" spans="1:39" ht="12" customHeight="1" x14ac:dyDescent="0.2">
      <c r="A159" s="1" t="s">
        <v>236</v>
      </c>
      <c r="C159" s="1" t="s">
        <v>558</v>
      </c>
      <c r="E159" s="48">
        <v>24456.799999999999</v>
      </c>
      <c r="F159" s="48"/>
      <c r="G159" s="48">
        <v>0</v>
      </c>
      <c r="H159" s="48"/>
      <c r="I159" s="48">
        <v>3121.46</v>
      </c>
      <c r="J159" s="48"/>
      <c r="K159" s="48">
        <v>0</v>
      </c>
      <c r="L159" s="48"/>
      <c r="M159" s="48">
        <v>0</v>
      </c>
      <c r="N159" s="48"/>
      <c r="O159" s="48">
        <v>55</v>
      </c>
      <c r="P159" s="48"/>
      <c r="Q159" s="48">
        <v>949.86</v>
      </c>
      <c r="R159" s="48"/>
      <c r="S159" s="48">
        <v>7.14</v>
      </c>
      <c r="T159" s="48"/>
      <c r="U159" s="48">
        <v>0</v>
      </c>
      <c r="V159" s="48"/>
      <c r="W159" s="48">
        <v>0</v>
      </c>
      <c r="X159" s="48"/>
      <c r="Y159" s="48">
        <v>0</v>
      </c>
      <c r="Z159" s="48"/>
      <c r="AA159" s="48">
        <v>437.76</v>
      </c>
      <c r="AB159" s="48"/>
      <c r="AC159" s="48">
        <v>0</v>
      </c>
      <c r="AD159" s="48"/>
      <c r="AE159" s="48">
        <v>50</v>
      </c>
      <c r="AF159" s="48"/>
      <c r="AG159" s="48">
        <v>0</v>
      </c>
      <c r="AH159" s="19">
        <f t="shared" si="6"/>
        <v>29078.019999999997</v>
      </c>
      <c r="AI159" s="48">
        <f t="shared" si="7"/>
        <v>29078.019999999997</v>
      </c>
      <c r="AJ159" s="5"/>
    </row>
    <row r="160" spans="1:39" ht="12" customHeight="1" x14ac:dyDescent="0.2">
      <c r="A160" s="1" t="s">
        <v>788</v>
      </c>
      <c r="C160" s="1" t="s">
        <v>293</v>
      </c>
      <c r="E160" s="48">
        <v>345130</v>
      </c>
      <c r="F160" s="48"/>
      <c r="G160" s="48">
        <v>8079046</v>
      </c>
      <c r="H160" s="48"/>
      <c r="I160" s="48">
        <v>77952</v>
      </c>
      <c r="J160" s="48"/>
      <c r="K160" s="48">
        <v>0</v>
      </c>
      <c r="L160" s="48"/>
      <c r="M160" s="48">
        <v>503456</v>
      </c>
      <c r="N160" s="48"/>
      <c r="O160" s="48">
        <v>233429</v>
      </c>
      <c r="P160" s="48"/>
      <c r="Q160" s="48">
        <v>6163</v>
      </c>
      <c r="R160" s="48"/>
      <c r="S160" s="48">
        <v>159456</v>
      </c>
      <c r="T160" s="48"/>
      <c r="U160" s="48">
        <v>0</v>
      </c>
      <c r="V160" s="48"/>
      <c r="W160" s="48">
        <v>0</v>
      </c>
      <c r="X160" s="48"/>
      <c r="Y160" s="48">
        <v>3244</v>
      </c>
      <c r="Z160" s="48"/>
      <c r="AA160" s="48">
        <v>0</v>
      </c>
      <c r="AB160" s="48"/>
      <c r="AC160" s="48">
        <v>0</v>
      </c>
      <c r="AD160" s="48"/>
      <c r="AE160" s="48">
        <v>0</v>
      </c>
      <c r="AF160" s="48"/>
      <c r="AG160" s="48">
        <v>0</v>
      </c>
      <c r="AH160" s="19">
        <f t="shared" ref="AH160:AH194" si="8">SUM(D160:AF160)</f>
        <v>9407876</v>
      </c>
      <c r="AI160" s="48">
        <f t="shared" si="7"/>
        <v>9407876</v>
      </c>
      <c r="AJ160" s="5"/>
    </row>
    <row r="161" spans="1:39" ht="12" customHeight="1" x14ac:dyDescent="0.2">
      <c r="A161" s="1" t="s">
        <v>713</v>
      </c>
      <c r="C161" s="1" t="s">
        <v>558</v>
      </c>
      <c r="E161" s="48">
        <v>13688.27</v>
      </c>
      <c r="F161" s="48"/>
      <c r="G161" s="48">
        <v>84366.21</v>
      </c>
      <c r="H161" s="48"/>
      <c r="I161" s="48">
        <v>10696.74</v>
      </c>
      <c r="J161" s="48"/>
      <c r="K161" s="48">
        <v>0</v>
      </c>
      <c r="L161" s="48"/>
      <c r="M161" s="48">
        <v>10181.799999999999</v>
      </c>
      <c r="N161" s="48"/>
      <c r="O161" s="48">
        <v>856.4</v>
      </c>
      <c r="P161" s="48"/>
      <c r="Q161" s="48">
        <v>540.45000000000005</v>
      </c>
      <c r="R161" s="48"/>
      <c r="S161" s="48">
        <v>6150.39</v>
      </c>
      <c r="T161" s="48"/>
      <c r="U161" s="48">
        <v>0</v>
      </c>
      <c r="V161" s="48"/>
      <c r="W161" s="48">
        <v>0</v>
      </c>
      <c r="X161" s="48"/>
      <c r="Y161" s="48">
        <v>0</v>
      </c>
      <c r="Z161" s="48"/>
      <c r="AA161" s="48">
        <v>0</v>
      </c>
      <c r="AB161" s="48"/>
      <c r="AC161" s="48">
        <v>0</v>
      </c>
      <c r="AD161" s="48"/>
      <c r="AE161" s="48">
        <v>3181.9</v>
      </c>
      <c r="AF161" s="48"/>
      <c r="AG161" s="48">
        <v>0</v>
      </c>
      <c r="AH161" s="19">
        <f t="shared" si="8"/>
        <v>129662.16</v>
      </c>
      <c r="AI161" s="48">
        <f t="shared" ref="AI161:AI195" si="9">SUM(E161:AG161)</f>
        <v>129662.16</v>
      </c>
      <c r="AJ161" s="5"/>
      <c r="AK161" s="87"/>
      <c r="AL161" s="87"/>
      <c r="AM161" s="87"/>
    </row>
    <row r="162" spans="1:39" s="67" customFormat="1" ht="12" customHeight="1" x14ac:dyDescent="0.2">
      <c r="A162" s="1" t="s">
        <v>549</v>
      </c>
      <c r="B162" s="1"/>
      <c r="C162" s="1" t="s">
        <v>547</v>
      </c>
      <c r="D162" s="1"/>
      <c r="E162" s="48">
        <v>109319</v>
      </c>
      <c r="F162" s="48"/>
      <c r="G162" s="48">
        <v>456107</v>
      </c>
      <c r="H162" s="48"/>
      <c r="I162" s="48">
        <v>64634</v>
      </c>
      <c r="J162" s="48"/>
      <c r="K162" s="48">
        <v>0</v>
      </c>
      <c r="L162" s="48"/>
      <c r="M162" s="48">
        <v>1764</v>
      </c>
      <c r="N162" s="48"/>
      <c r="O162" s="48">
        <v>30369</v>
      </c>
      <c r="P162" s="48"/>
      <c r="Q162" s="48">
        <v>514</v>
      </c>
      <c r="R162" s="48"/>
      <c r="S162" s="48">
        <v>4963</v>
      </c>
      <c r="T162" s="48"/>
      <c r="U162" s="48">
        <v>0</v>
      </c>
      <c r="V162" s="48"/>
      <c r="W162" s="48">
        <v>0</v>
      </c>
      <c r="X162" s="48"/>
      <c r="Y162" s="48">
        <v>0</v>
      </c>
      <c r="Z162" s="48"/>
      <c r="AA162" s="48">
        <v>0</v>
      </c>
      <c r="AB162" s="48"/>
      <c r="AC162" s="48">
        <v>0</v>
      </c>
      <c r="AD162" s="48"/>
      <c r="AE162" s="48">
        <v>0</v>
      </c>
      <c r="AF162" s="48"/>
      <c r="AG162" s="48">
        <v>0</v>
      </c>
      <c r="AH162" s="19">
        <f t="shared" si="8"/>
        <v>667670</v>
      </c>
      <c r="AI162" s="48">
        <f t="shared" si="9"/>
        <v>667670</v>
      </c>
      <c r="AJ162" s="5"/>
      <c r="AK162" s="1"/>
      <c r="AL162" s="1"/>
      <c r="AM162" s="1"/>
    </row>
    <row r="163" spans="1:39" ht="12" customHeight="1" x14ac:dyDescent="0.2">
      <c r="A163" s="1" t="s">
        <v>395</v>
      </c>
      <c r="C163" s="1" t="s">
        <v>396</v>
      </c>
      <c r="E163" s="48">
        <v>39052.589999999997</v>
      </c>
      <c r="F163" s="48"/>
      <c r="G163" s="48">
        <v>195658.69</v>
      </c>
      <c r="H163" s="48"/>
      <c r="I163" s="48">
        <v>28915.65</v>
      </c>
      <c r="J163" s="48"/>
      <c r="K163" s="48">
        <v>0</v>
      </c>
      <c r="L163" s="48"/>
      <c r="M163" s="48">
        <v>132.91</v>
      </c>
      <c r="N163" s="48"/>
      <c r="O163" s="48">
        <v>13513.82</v>
      </c>
      <c r="P163" s="48"/>
      <c r="Q163" s="48">
        <v>461.65</v>
      </c>
      <c r="R163" s="48"/>
      <c r="S163" s="48">
        <v>40.47</v>
      </c>
      <c r="T163" s="48"/>
      <c r="U163" s="48">
        <v>0</v>
      </c>
      <c r="V163" s="48"/>
      <c r="W163" s="48">
        <v>0</v>
      </c>
      <c r="X163" s="48"/>
      <c r="Y163" s="48">
        <v>837.5</v>
      </c>
      <c r="Z163" s="48"/>
      <c r="AA163" s="48">
        <v>0</v>
      </c>
      <c r="AB163" s="48"/>
      <c r="AC163" s="48">
        <v>0</v>
      </c>
      <c r="AD163" s="48"/>
      <c r="AE163" s="48">
        <v>3943.03</v>
      </c>
      <c r="AF163" s="48"/>
      <c r="AG163" s="48">
        <v>0</v>
      </c>
      <c r="AH163" s="19">
        <f t="shared" si="8"/>
        <v>282556.31</v>
      </c>
      <c r="AI163" s="48">
        <f t="shared" si="9"/>
        <v>282556.31</v>
      </c>
      <c r="AJ163" s="5"/>
      <c r="AK163" s="87"/>
      <c r="AL163" s="87"/>
      <c r="AM163" s="87"/>
    </row>
    <row r="164" spans="1:39" ht="12" customHeight="1" x14ac:dyDescent="0.2">
      <c r="A164" s="6" t="s">
        <v>374</v>
      </c>
      <c r="B164" s="6"/>
      <c r="C164" s="6" t="s">
        <v>373</v>
      </c>
      <c r="D164" s="6"/>
      <c r="E164" s="48">
        <v>0</v>
      </c>
      <c r="F164" s="48"/>
      <c r="G164" s="48">
        <v>0</v>
      </c>
      <c r="H164" s="48"/>
      <c r="I164" s="48">
        <v>12906</v>
      </c>
      <c r="J164" s="48"/>
      <c r="K164" s="48">
        <v>0</v>
      </c>
      <c r="L164" s="48"/>
      <c r="M164" s="48">
        <v>0</v>
      </c>
      <c r="N164" s="48"/>
      <c r="O164" s="48">
        <v>0</v>
      </c>
      <c r="P164" s="48"/>
      <c r="Q164" s="48">
        <v>6</v>
      </c>
      <c r="R164" s="48"/>
      <c r="S164" s="48">
        <v>116</v>
      </c>
      <c r="T164" s="48"/>
      <c r="U164" s="48">
        <v>0</v>
      </c>
      <c r="V164" s="48"/>
      <c r="W164" s="48">
        <v>0</v>
      </c>
      <c r="X164" s="48"/>
      <c r="Y164" s="48">
        <v>0</v>
      </c>
      <c r="Z164" s="48"/>
      <c r="AA164" s="48">
        <v>0</v>
      </c>
      <c r="AB164" s="48"/>
      <c r="AC164" s="48">
        <v>0</v>
      </c>
      <c r="AD164" s="48"/>
      <c r="AE164" s="48">
        <v>0</v>
      </c>
      <c r="AF164" s="48"/>
      <c r="AG164" s="48">
        <v>0</v>
      </c>
      <c r="AH164" s="19">
        <f t="shared" si="8"/>
        <v>13028</v>
      </c>
      <c r="AI164" s="48">
        <f t="shared" si="9"/>
        <v>13028</v>
      </c>
      <c r="AJ164" s="5"/>
    </row>
    <row r="165" spans="1:39" ht="12" customHeight="1" x14ac:dyDescent="0.2">
      <c r="A165" s="1" t="s">
        <v>851</v>
      </c>
      <c r="C165" s="1" t="s">
        <v>414</v>
      </c>
      <c r="E165" s="48">
        <v>38717.93</v>
      </c>
      <c r="F165" s="48"/>
      <c r="G165" s="48">
        <v>149595.32</v>
      </c>
      <c r="H165" s="48"/>
      <c r="I165" s="48">
        <v>19129.2</v>
      </c>
      <c r="J165" s="48"/>
      <c r="K165" s="48">
        <v>1034.74</v>
      </c>
      <c r="L165" s="48"/>
      <c r="M165" s="48">
        <v>0</v>
      </c>
      <c r="N165" s="48"/>
      <c r="O165" s="48">
        <v>11187.58</v>
      </c>
      <c r="P165" s="48"/>
      <c r="Q165" s="48">
        <v>394.92</v>
      </c>
      <c r="R165" s="48"/>
      <c r="S165" s="48">
        <v>8071.38</v>
      </c>
      <c r="T165" s="48"/>
      <c r="U165" s="48">
        <v>0</v>
      </c>
      <c r="V165" s="48"/>
      <c r="W165" s="48">
        <v>0</v>
      </c>
      <c r="X165" s="48"/>
      <c r="Y165" s="48">
        <v>0</v>
      </c>
      <c r="Z165" s="48"/>
      <c r="AA165" s="48">
        <v>0</v>
      </c>
      <c r="AB165" s="48"/>
      <c r="AC165" s="48">
        <v>20600</v>
      </c>
      <c r="AD165" s="48"/>
      <c r="AE165" s="48">
        <v>0</v>
      </c>
      <c r="AF165" s="48"/>
      <c r="AG165" s="48">
        <v>0</v>
      </c>
      <c r="AH165" s="19">
        <f t="shared" si="8"/>
        <v>248731.07</v>
      </c>
      <c r="AI165" s="48">
        <f t="shared" si="9"/>
        <v>248731.07</v>
      </c>
      <c r="AJ165" s="5"/>
      <c r="AK165" s="67"/>
      <c r="AL165" s="67"/>
      <c r="AM165" s="67"/>
    </row>
    <row r="166" spans="1:39" ht="12" customHeight="1" x14ac:dyDescent="0.2">
      <c r="A166" s="1" t="s">
        <v>27</v>
      </c>
      <c r="C166" s="1" t="s">
        <v>57</v>
      </c>
      <c r="E166" s="48">
        <v>27105.64</v>
      </c>
      <c r="F166" s="48"/>
      <c r="G166" s="48">
        <v>0</v>
      </c>
      <c r="H166" s="48"/>
      <c r="I166" s="48">
        <v>34416.400000000001</v>
      </c>
      <c r="J166" s="48"/>
      <c r="K166" s="48">
        <v>0</v>
      </c>
      <c r="L166" s="48"/>
      <c r="M166" s="48">
        <v>0</v>
      </c>
      <c r="N166" s="48"/>
      <c r="O166" s="48">
        <v>2492.61</v>
      </c>
      <c r="P166" s="48"/>
      <c r="Q166" s="48">
        <v>6.83</v>
      </c>
      <c r="R166" s="48"/>
      <c r="S166" s="48">
        <v>2854.45</v>
      </c>
      <c r="T166" s="48"/>
      <c r="U166" s="48">
        <v>0</v>
      </c>
      <c r="V166" s="48"/>
      <c r="W166" s="48">
        <v>0</v>
      </c>
      <c r="X166" s="48"/>
      <c r="Y166" s="48">
        <v>0</v>
      </c>
      <c r="Z166" s="48"/>
      <c r="AA166" s="48">
        <v>0</v>
      </c>
      <c r="AB166" s="48"/>
      <c r="AC166" s="48">
        <v>0</v>
      </c>
      <c r="AD166" s="48"/>
      <c r="AE166" s="48">
        <v>0</v>
      </c>
      <c r="AF166" s="48"/>
      <c r="AG166" s="48">
        <v>0</v>
      </c>
      <c r="AH166" s="19">
        <f t="shared" si="8"/>
        <v>66875.930000000008</v>
      </c>
      <c r="AI166" s="48">
        <f t="shared" si="9"/>
        <v>66875.930000000008</v>
      </c>
      <c r="AJ166" s="5"/>
      <c r="AK166" s="4"/>
      <c r="AL166" s="4"/>
      <c r="AM166" s="4"/>
    </row>
    <row r="167" spans="1:39" ht="12" customHeight="1" x14ac:dyDescent="0.2">
      <c r="A167" s="6" t="s">
        <v>333</v>
      </c>
      <c r="B167" s="6"/>
      <c r="C167" s="6" t="s">
        <v>332</v>
      </c>
      <c r="D167" s="6"/>
      <c r="E167" s="48">
        <v>120452</v>
      </c>
      <c r="F167" s="48"/>
      <c r="G167" s="48">
        <v>367754</v>
      </c>
      <c r="H167" s="48"/>
      <c r="I167" s="48">
        <v>118329</v>
      </c>
      <c r="J167" s="48"/>
      <c r="K167" s="48">
        <v>0</v>
      </c>
      <c r="L167" s="48"/>
      <c r="M167" s="48">
        <v>83485</v>
      </c>
      <c r="N167" s="48"/>
      <c r="O167" s="48">
        <v>31823</v>
      </c>
      <c r="P167" s="48"/>
      <c r="Q167" s="48">
        <v>12573</v>
      </c>
      <c r="R167" s="48"/>
      <c r="S167" s="48">
        <v>13437</v>
      </c>
      <c r="T167" s="48"/>
      <c r="U167" s="48">
        <v>0</v>
      </c>
      <c r="V167" s="48"/>
      <c r="W167" s="48">
        <v>0</v>
      </c>
      <c r="X167" s="48"/>
      <c r="Y167" s="48">
        <v>0</v>
      </c>
      <c r="Z167" s="48"/>
      <c r="AA167" s="48">
        <v>0</v>
      </c>
      <c r="AB167" s="48"/>
      <c r="AC167" s="48">
        <v>0</v>
      </c>
      <c r="AD167" s="48"/>
      <c r="AE167" s="48">
        <v>0</v>
      </c>
      <c r="AF167" s="48"/>
      <c r="AG167" s="48">
        <v>0</v>
      </c>
      <c r="AH167" s="19">
        <f t="shared" si="8"/>
        <v>747853</v>
      </c>
      <c r="AI167" s="48">
        <f t="shared" si="9"/>
        <v>747853</v>
      </c>
      <c r="AJ167" s="5"/>
      <c r="AK167" s="6"/>
      <c r="AL167" s="6"/>
      <c r="AM167" s="6"/>
    </row>
    <row r="168" spans="1:39" ht="12" customHeight="1" x14ac:dyDescent="0.2">
      <c r="A168" s="1" t="s">
        <v>217</v>
      </c>
      <c r="C168" s="1" t="s">
        <v>521</v>
      </c>
      <c r="E168" s="48">
        <v>155052.07</v>
      </c>
      <c r="F168" s="48"/>
      <c r="G168" s="48">
        <v>710095.81</v>
      </c>
      <c r="H168" s="48"/>
      <c r="I168" s="48">
        <v>78780.59</v>
      </c>
      <c r="J168" s="48"/>
      <c r="K168" s="48">
        <v>0</v>
      </c>
      <c r="L168" s="48"/>
      <c r="M168" s="48">
        <v>0</v>
      </c>
      <c r="N168" s="48"/>
      <c r="O168" s="48">
        <v>10670.09</v>
      </c>
      <c r="P168" s="48"/>
      <c r="Q168" s="48">
        <v>958.59</v>
      </c>
      <c r="R168" s="48"/>
      <c r="S168" s="48">
        <v>56742.46</v>
      </c>
      <c r="T168" s="48"/>
      <c r="U168" s="48">
        <v>0</v>
      </c>
      <c r="V168" s="48"/>
      <c r="W168" s="48">
        <v>0</v>
      </c>
      <c r="X168" s="48"/>
      <c r="Y168" s="48">
        <v>0</v>
      </c>
      <c r="Z168" s="48"/>
      <c r="AA168" s="48">
        <v>48000</v>
      </c>
      <c r="AB168" s="48"/>
      <c r="AC168" s="48">
        <v>0</v>
      </c>
      <c r="AD168" s="48"/>
      <c r="AE168" s="48">
        <v>0</v>
      </c>
      <c r="AF168" s="48"/>
      <c r="AG168" s="48">
        <v>0</v>
      </c>
      <c r="AH168" s="19">
        <f t="shared" si="8"/>
        <v>1060299.6099999999</v>
      </c>
      <c r="AI168" s="48">
        <f t="shared" si="9"/>
        <v>1060299.6099999999</v>
      </c>
      <c r="AJ168" s="5"/>
    </row>
    <row r="169" spans="1:39" ht="12" customHeight="1" x14ac:dyDescent="0.2">
      <c r="A169" s="1" t="s">
        <v>99</v>
      </c>
      <c r="C169" s="1" t="s">
        <v>377</v>
      </c>
      <c r="E169" s="48">
        <v>62532.44</v>
      </c>
      <c r="F169" s="48"/>
      <c r="G169" s="48">
        <v>0</v>
      </c>
      <c r="H169" s="48"/>
      <c r="I169" s="48">
        <v>117077.72</v>
      </c>
      <c r="J169" s="48"/>
      <c r="K169" s="48">
        <v>0</v>
      </c>
      <c r="L169" s="48"/>
      <c r="M169" s="48">
        <v>2700</v>
      </c>
      <c r="N169" s="48"/>
      <c r="O169" s="48">
        <v>11934.82</v>
      </c>
      <c r="P169" s="48"/>
      <c r="Q169" s="48">
        <v>6942.52</v>
      </c>
      <c r="R169" s="48"/>
      <c r="S169" s="48">
        <v>70575.570000000007</v>
      </c>
      <c r="T169" s="48"/>
      <c r="U169" s="48">
        <v>0</v>
      </c>
      <c r="V169" s="48"/>
      <c r="W169" s="48">
        <v>0</v>
      </c>
      <c r="X169" s="48"/>
      <c r="Y169" s="48">
        <v>0</v>
      </c>
      <c r="Z169" s="48"/>
      <c r="AA169" s="48">
        <v>100000</v>
      </c>
      <c r="AB169" s="48"/>
      <c r="AC169" s="48">
        <v>0</v>
      </c>
      <c r="AD169" s="48"/>
      <c r="AE169" s="48">
        <v>0</v>
      </c>
      <c r="AF169" s="48"/>
      <c r="AG169" s="48">
        <v>0</v>
      </c>
      <c r="AH169" s="19">
        <f t="shared" si="8"/>
        <v>371763.07</v>
      </c>
      <c r="AI169" s="48">
        <f t="shared" si="9"/>
        <v>371763.07</v>
      </c>
      <c r="AJ169" s="5"/>
    </row>
    <row r="170" spans="1:39" s="67" customFormat="1" ht="12" customHeight="1" x14ac:dyDescent="0.2">
      <c r="A170" s="1" t="s">
        <v>111</v>
      </c>
      <c r="B170" s="1"/>
      <c r="C170" s="1" t="s">
        <v>390</v>
      </c>
      <c r="D170" s="1"/>
      <c r="E170" s="48">
        <v>41385.68</v>
      </c>
      <c r="F170" s="48"/>
      <c r="G170" s="48">
        <v>0</v>
      </c>
      <c r="H170" s="48"/>
      <c r="I170" s="48">
        <v>28014.73</v>
      </c>
      <c r="J170" s="48"/>
      <c r="K170" s="48">
        <v>0</v>
      </c>
      <c r="L170" s="48"/>
      <c r="M170" s="48">
        <v>2486.4899999999998</v>
      </c>
      <c r="N170" s="48"/>
      <c r="O170" s="48">
        <v>11970.67</v>
      </c>
      <c r="P170" s="48"/>
      <c r="Q170" s="48">
        <v>629.87</v>
      </c>
      <c r="R170" s="48"/>
      <c r="S170" s="48">
        <v>383.9</v>
      </c>
      <c r="T170" s="48"/>
      <c r="U170" s="48">
        <v>0</v>
      </c>
      <c r="V170" s="48"/>
      <c r="W170" s="48">
        <v>53000</v>
      </c>
      <c r="X170" s="48"/>
      <c r="Y170" s="48">
        <v>4500</v>
      </c>
      <c r="Z170" s="48"/>
      <c r="AA170" s="48">
        <v>0</v>
      </c>
      <c r="AB170" s="48"/>
      <c r="AC170" s="48">
        <v>0</v>
      </c>
      <c r="AD170" s="48"/>
      <c r="AE170" s="48">
        <v>0</v>
      </c>
      <c r="AF170" s="48"/>
      <c r="AG170" s="48">
        <v>0</v>
      </c>
      <c r="AH170" s="19">
        <f t="shared" si="8"/>
        <v>142371.34</v>
      </c>
      <c r="AI170" s="48">
        <f t="shared" si="9"/>
        <v>142371.34</v>
      </c>
      <c r="AJ170" s="5"/>
      <c r="AK170" s="1"/>
      <c r="AL170" s="1"/>
      <c r="AM170" s="1"/>
    </row>
    <row r="171" spans="1:39" ht="12" customHeight="1" x14ac:dyDescent="0.2">
      <c r="A171" s="1" t="s">
        <v>699</v>
      </c>
      <c r="C171" s="1" t="s">
        <v>274</v>
      </c>
      <c r="E171" s="48">
        <v>35440.83</v>
      </c>
      <c r="F171" s="48"/>
      <c r="G171" s="48">
        <v>0</v>
      </c>
      <c r="H171" s="48"/>
      <c r="I171" s="48">
        <v>6709.99</v>
      </c>
      <c r="J171" s="48"/>
      <c r="K171" s="48">
        <v>0</v>
      </c>
      <c r="L171" s="48"/>
      <c r="M171" s="48">
        <v>2904</v>
      </c>
      <c r="N171" s="48"/>
      <c r="O171" s="48">
        <v>6302.32</v>
      </c>
      <c r="P171" s="48"/>
      <c r="Q171" s="48">
        <v>413.75</v>
      </c>
      <c r="R171" s="48"/>
      <c r="S171" s="48">
        <v>2600</v>
      </c>
      <c r="T171" s="48"/>
      <c r="U171" s="48">
        <v>0</v>
      </c>
      <c r="V171" s="48"/>
      <c r="W171" s="48">
        <v>0</v>
      </c>
      <c r="X171" s="48"/>
      <c r="Y171" s="48">
        <v>0</v>
      </c>
      <c r="Z171" s="48"/>
      <c r="AA171" s="48">
        <v>0</v>
      </c>
      <c r="AB171" s="48"/>
      <c r="AC171" s="48">
        <v>0</v>
      </c>
      <c r="AD171" s="48"/>
      <c r="AE171" s="48">
        <v>0</v>
      </c>
      <c r="AF171" s="48"/>
      <c r="AG171" s="48">
        <v>0</v>
      </c>
      <c r="AH171" s="19">
        <f t="shared" si="8"/>
        <v>54370.89</v>
      </c>
      <c r="AI171" s="48">
        <f t="shared" si="9"/>
        <v>54370.89</v>
      </c>
      <c r="AJ171" s="5"/>
      <c r="AK171" s="4"/>
      <c r="AL171" s="4"/>
      <c r="AM171" s="4"/>
    </row>
    <row r="172" spans="1:39" ht="12" customHeight="1" x14ac:dyDescent="0.2">
      <c r="A172" s="1" t="s">
        <v>550</v>
      </c>
      <c r="C172" s="1" t="s">
        <v>547</v>
      </c>
      <c r="E172" s="48">
        <v>296736.90000000002</v>
      </c>
      <c r="F172" s="48"/>
      <c r="G172" s="48">
        <v>573589.91</v>
      </c>
      <c r="H172" s="48"/>
      <c r="I172" s="48">
        <v>86946.65</v>
      </c>
      <c r="J172" s="48"/>
      <c r="K172" s="48">
        <v>0</v>
      </c>
      <c r="L172" s="48"/>
      <c r="M172" s="48">
        <v>13715</v>
      </c>
      <c r="N172" s="48"/>
      <c r="O172" s="48">
        <v>33769.199999999997</v>
      </c>
      <c r="P172" s="48"/>
      <c r="Q172" s="48">
        <v>399.81</v>
      </c>
      <c r="R172" s="48"/>
      <c r="S172" s="48">
        <v>27048.43</v>
      </c>
      <c r="T172" s="48"/>
      <c r="U172" s="48">
        <v>0</v>
      </c>
      <c r="V172" s="48"/>
      <c r="W172" s="48">
        <v>0</v>
      </c>
      <c r="X172" s="48"/>
      <c r="Y172" s="48">
        <v>0</v>
      </c>
      <c r="Z172" s="48"/>
      <c r="AA172" s="48">
        <v>7965</v>
      </c>
      <c r="AB172" s="48"/>
      <c r="AC172" s="48">
        <v>0</v>
      </c>
      <c r="AD172" s="48"/>
      <c r="AE172" s="48">
        <v>0</v>
      </c>
      <c r="AF172" s="48"/>
      <c r="AG172" s="48">
        <v>0</v>
      </c>
      <c r="AH172" s="19">
        <f t="shared" si="8"/>
        <v>1040170.9000000001</v>
      </c>
      <c r="AI172" s="48">
        <f t="shared" si="9"/>
        <v>1040170.9000000001</v>
      </c>
      <c r="AJ172" s="5"/>
      <c r="AK172" s="4"/>
      <c r="AL172" s="4"/>
      <c r="AM172" s="4"/>
    </row>
    <row r="173" spans="1:39" ht="12" customHeight="1" x14ac:dyDescent="0.2">
      <c r="A173" s="1" t="s">
        <v>160</v>
      </c>
      <c r="C173" s="1" t="s">
        <v>450</v>
      </c>
      <c r="E173" s="48">
        <v>130695.12</v>
      </c>
      <c r="F173" s="48"/>
      <c r="G173" s="48">
        <v>24.64</v>
      </c>
      <c r="H173" s="48"/>
      <c r="I173" s="48">
        <v>54241.95</v>
      </c>
      <c r="J173" s="48"/>
      <c r="K173" s="48">
        <v>0</v>
      </c>
      <c r="L173" s="48"/>
      <c r="M173" s="48">
        <v>0</v>
      </c>
      <c r="N173" s="48"/>
      <c r="O173" s="48">
        <v>389.59</v>
      </c>
      <c r="P173" s="48"/>
      <c r="Q173" s="48">
        <v>725.97</v>
      </c>
      <c r="R173" s="48"/>
      <c r="S173" s="48">
        <v>19332.669999999998</v>
      </c>
      <c r="T173" s="48"/>
      <c r="U173" s="48">
        <v>0</v>
      </c>
      <c r="V173" s="48"/>
      <c r="W173" s="48">
        <v>0</v>
      </c>
      <c r="X173" s="48"/>
      <c r="Y173" s="48">
        <v>0</v>
      </c>
      <c r="Z173" s="48"/>
      <c r="AA173" s="48">
        <v>116623</v>
      </c>
      <c r="AB173" s="48"/>
      <c r="AC173" s="48">
        <v>0</v>
      </c>
      <c r="AD173" s="48"/>
      <c r="AE173" s="48">
        <v>1971</v>
      </c>
      <c r="AF173" s="48"/>
      <c r="AG173" s="48">
        <v>0</v>
      </c>
      <c r="AH173" s="19">
        <f t="shared" si="8"/>
        <v>324003.94</v>
      </c>
      <c r="AI173" s="48">
        <f t="shared" si="9"/>
        <v>324003.94</v>
      </c>
      <c r="AJ173" s="5"/>
      <c r="AK173" s="67"/>
      <c r="AL173" s="67"/>
      <c r="AM173" s="67"/>
    </row>
    <row r="174" spans="1:39" s="67" customFormat="1" ht="12" customHeight="1" x14ac:dyDescent="0.2">
      <c r="A174" s="1" t="s">
        <v>367</v>
      </c>
      <c r="B174" s="1"/>
      <c r="C174" s="1" t="s">
        <v>366</v>
      </c>
      <c r="D174" s="1"/>
      <c r="E174" s="48">
        <v>14369.25</v>
      </c>
      <c r="F174" s="48"/>
      <c r="G174" s="48">
        <v>89111.88</v>
      </c>
      <c r="H174" s="48"/>
      <c r="I174" s="48">
        <v>25787.84</v>
      </c>
      <c r="J174" s="48"/>
      <c r="K174" s="48">
        <v>0</v>
      </c>
      <c r="L174" s="48"/>
      <c r="M174" s="48">
        <v>0</v>
      </c>
      <c r="N174" s="48"/>
      <c r="O174" s="48">
        <v>5076.87</v>
      </c>
      <c r="P174" s="48"/>
      <c r="Q174" s="48">
        <v>495.89</v>
      </c>
      <c r="R174" s="48"/>
      <c r="S174" s="48">
        <v>223.23</v>
      </c>
      <c r="T174" s="48"/>
      <c r="U174" s="48">
        <v>0</v>
      </c>
      <c r="V174" s="48"/>
      <c r="W174" s="48">
        <v>0</v>
      </c>
      <c r="X174" s="48"/>
      <c r="Y174" s="48">
        <v>0</v>
      </c>
      <c r="Z174" s="48"/>
      <c r="AA174" s="48">
        <v>0</v>
      </c>
      <c r="AB174" s="48"/>
      <c r="AC174" s="48">
        <v>0</v>
      </c>
      <c r="AD174" s="48"/>
      <c r="AE174" s="48">
        <v>0</v>
      </c>
      <c r="AF174" s="48"/>
      <c r="AG174" s="48">
        <v>0</v>
      </c>
      <c r="AH174" s="19">
        <f t="shared" si="8"/>
        <v>135064.96000000002</v>
      </c>
      <c r="AI174" s="48">
        <f t="shared" si="9"/>
        <v>135064.96000000002</v>
      </c>
      <c r="AJ174" s="5"/>
      <c r="AK174" s="1"/>
      <c r="AL174" s="1"/>
      <c r="AM174" s="1"/>
    </row>
    <row r="175" spans="1:39" ht="12" customHeight="1" x14ac:dyDescent="0.2">
      <c r="A175" s="1" t="s">
        <v>188</v>
      </c>
      <c r="C175" s="1" t="s">
        <v>476</v>
      </c>
      <c r="E175" s="48">
        <v>8166.91</v>
      </c>
      <c r="F175" s="48"/>
      <c r="G175" s="48">
        <v>0</v>
      </c>
      <c r="H175" s="48"/>
      <c r="I175" s="48">
        <v>21315.24</v>
      </c>
      <c r="J175" s="48"/>
      <c r="K175" s="48">
        <v>0</v>
      </c>
      <c r="L175" s="48"/>
      <c r="M175" s="48">
        <v>4820.72</v>
      </c>
      <c r="N175" s="48"/>
      <c r="O175" s="48">
        <v>0</v>
      </c>
      <c r="P175" s="48"/>
      <c r="Q175" s="48">
        <v>46.17</v>
      </c>
      <c r="R175" s="48"/>
      <c r="S175" s="48">
        <v>405</v>
      </c>
      <c r="T175" s="48"/>
      <c r="U175" s="48">
        <v>0</v>
      </c>
      <c r="V175" s="48"/>
      <c r="W175" s="48">
        <v>0</v>
      </c>
      <c r="X175" s="48"/>
      <c r="Y175" s="48">
        <v>0</v>
      </c>
      <c r="Z175" s="48"/>
      <c r="AA175" s="48">
        <v>0</v>
      </c>
      <c r="AB175" s="48"/>
      <c r="AC175" s="48">
        <v>0</v>
      </c>
      <c r="AD175" s="48"/>
      <c r="AE175" s="48">
        <v>0</v>
      </c>
      <c r="AF175" s="48"/>
      <c r="AG175" s="48">
        <v>0</v>
      </c>
      <c r="AH175" s="19">
        <f t="shared" si="8"/>
        <v>34754.04</v>
      </c>
      <c r="AI175" s="48">
        <f t="shared" si="9"/>
        <v>34754.04</v>
      </c>
      <c r="AJ175" s="5"/>
    </row>
    <row r="176" spans="1:39" ht="12" customHeight="1" x14ac:dyDescent="0.2">
      <c r="A176" s="1" t="s">
        <v>504</v>
      </c>
      <c r="C176" s="1" t="s">
        <v>502</v>
      </c>
      <c r="E176" s="48">
        <v>39331.65</v>
      </c>
      <c r="F176" s="48"/>
      <c r="G176" s="48">
        <v>322006.57</v>
      </c>
      <c r="H176" s="48"/>
      <c r="I176" s="48">
        <v>27661.06</v>
      </c>
      <c r="J176" s="48"/>
      <c r="K176" s="48">
        <v>0</v>
      </c>
      <c r="L176" s="48"/>
      <c r="M176" s="48">
        <v>1648.72</v>
      </c>
      <c r="N176" s="48"/>
      <c r="O176" s="48">
        <v>25873.52</v>
      </c>
      <c r="P176" s="48"/>
      <c r="Q176" s="48">
        <v>641.63</v>
      </c>
      <c r="R176" s="48"/>
      <c r="S176" s="48">
        <v>0</v>
      </c>
      <c r="T176" s="48"/>
      <c r="U176" s="48">
        <v>0</v>
      </c>
      <c r="V176" s="48"/>
      <c r="W176" s="48">
        <v>0</v>
      </c>
      <c r="X176" s="48"/>
      <c r="Y176" s="48">
        <v>0</v>
      </c>
      <c r="Z176" s="48"/>
      <c r="AA176" s="48">
        <v>0</v>
      </c>
      <c r="AB176" s="48"/>
      <c r="AC176" s="48">
        <v>0</v>
      </c>
      <c r="AD176" s="48"/>
      <c r="AE176" s="48">
        <v>0</v>
      </c>
      <c r="AF176" s="48"/>
      <c r="AG176" s="48">
        <v>2633.38</v>
      </c>
      <c r="AH176" s="19">
        <f t="shared" si="8"/>
        <v>417163.15</v>
      </c>
      <c r="AI176" s="48">
        <f t="shared" si="9"/>
        <v>419796.53</v>
      </c>
      <c r="AJ176" s="5"/>
      <c r="AK176" s="4"/>
      <c r="AL176" s="4"/>
      <c r="AM176" s="4"/>
    </row>
    <row r="177" spans="1:39" ht="12" customHeight="1" x14ac:dyDescent="0.2">
      <c r="A177" s="1" t="s">
        <v>818</v>
      </c>
      <c r="C177" s="1" t="s">
        <v>283</v>
      </c>
      <c r="E177" s="48">
        <v>1071807</v>
      </c>
      <c r="F177" s="48"/>
      <c r="G177" s="48">
        <v>0</v>
      </c>
      <c r="H177" s="48"/>
      <c r="I177" s="48">
        <v>188954</v>
      </c>
      <c r="J177" s="48"/>
      <c r="K177" s="48">
        <v>0</v>
      </c>
      <c r="L177" s="48"/>
      <c r="M177" s="48">
        <v>187890</v>
      </c>
      <c r="N177" s="48"/>
      <c r="O177" s="48">
        <f>72184+14573</f>
        <v>86757</v>
      </c>
      <c r="P177" s="48"/>
      <c r="Q177" s="48">
        <v>2257</v>
      </c>
      <c r="R177" s="48"/>
      <c r="S177" s="48">
        <v>50116</v>
      </c>
      <c r="T177" s="48"/>
      <c r="U177" s="48">
        <v>395000</v>
      </c>
      <c r="V177" s="48"/>
      <c r="W177" s="48">
        <v>0</v>
      </c>
      <c r="X177" s="48"/>
      <c r="Y177" s="48">
        <v>57175</v>
      </c>
      <c r="Z177" s="48"/>
      <c r="AA177" s="48">
        <v>0</v>
      </c>
      <c r="AB177" s="48"/>
      <c r="AC177" s="48">
        <v>0</v>
      </c>
      <c r="AD177" s="48"/>
      <c r="AE177" s="48">
        <v>0</v>
      </c>
      <c r="AF177" s="48"/>
      <c r="AG177" s="48">
        <v>0</v>
      </c>
      <c r="AH177" s="19">
        <f t="shared" si="8"/>
        <v>2039956</v>
      </c>
      <c r="AI177" s="48">
        <f t="shared" si="9"/>
        <v>2039956</v>
      </c>
      <c r="AJ177" s="5"/>
      <c r="AK177" s="67"/>
      <c r="AL177" s="67"/>
      <c r="AM177" s="67"/>
    </row>
    <row r="178" spans="1:39" ht="12" customHeight="1" x14ac:dyDescent="0.2">
      <c r="A178" s="1" t="s">
        <v>209</v>
      </c>
      <c r="C178" s="1" t="s">
        <v>502</v>
      </c>
      <c r="E178" s="48">
        <v>109386.7</v>
      </c>
      <c r="F178" s="48"/>
      <c r="G178" s="48">
        <v>0</v>
      </c>
      <c r="H178" s="48"/>
      <c r="I178" s="48">
        <v>6739.31</v>
      </c>
      <c r="J178" s="48"/>
      <c r="K178" s="48">
        <v>0</v>
      </c>
      <c r="L178" s="48"/>
      <c r="M178" s="48">
        <v>1725</v>
      </c>
      <c r="N178" s="48"/>
      <c r="O178" s="48">
        <v>11698.28</v>
      </c>
      <c r="P178" s="48"/>
      <c r="Q178" s="48">
        <v>117</v>
      </c>
      <c r="R178" s="48"/>
      <c r="S178" s="48">
        <v>7427.61</v>
      </c>
      <c r="T178" s="48"/>
      <c r="U178" s="48">
        <v>0</v>
      </c>
      <c r="V178" s="48"/>
      <c r="W178" s="48">
        <v>0</v>
      </c>
      <c r="X178" s="48"/>
      <c r="Y178" s="48">
        <v>0</v>
      </c>
      <c r="Z178" s="48"/>
      <c r="AA178" s="48">
        <v>0</v>
      </c>
      <c r="AB178" s="48"/>
      <c r="AC178" s="48">
        <v>0</v>
      </c>
      <c r="AD178" s="48"/>
      <c r="AE178" s="48">
        <v>0</v>
      </c>
      <c r="AF178" s="48"/>
      <c r="AG178" s="48">
        <v>0</v>
      </c>
      <c r="AH178" s="19">
        <f t="shared" si="8"/>
        <v>137093.9</v>
      </c>
      <c r="AI178" s="48">
        <f t="shared" si="9"/>
        <v>137093.9</v>
      </c>
      <c r="AJ178" s="5"/>
      <c r="AK178" s="67"/>
      <c r="AL178" s="67"/>
      <c r="AM178" s="67"/>
    </row>
    <row r="179" spans="1:39" s="67" customFormat="1" ht="12" customHeight="1" x14ac:dyDescent="0.2">
      <c r="A179" s="1" t="s">
        <v>553</v>
      </c>
      <c r="B179" s="1"/>
      <c r="C179" s="1" t="s">
        <v>554</v>
      </c>
      <c r="D179" s="1"/>
      <c r="E179" s="48">
        <v>178895</v>
      </c>
      <c r="F179" s="48"/>
      <c r="G179" s="48">
        <v>331149</v>
      </c>
      <c r="H179" s="48"/>
      <c r="I179" s="48">
        <v>67585</v>
      </c>
      <c r="J179" s="48"/>
      <c r="K179" s="48">
        <v>0</v>
      </c>
      <c r="L179" s="48"/>
      <c r="M179" s="48">
        <v>60104</v>
      </c>
      <c r="N179" s="48"/>
      <c r="O179" s="48">
        <v>12054</v>
      </c>
      <c r="P179" s="48"/>
      <c r="Q179" s="48">
        <v>1143</v>
      </c>
      <c r="R179" s="48"/>
      <c r="S179" s="48">
        <v>88310</v>
      </c>
      <c r="T179" s="48"/>
      <c r="U179" s="48">
        <v>0</v>
      </c>
      <c r="V179" s="48"/>
      <c r="W179" s="48">
        <v>0</v>
      </c>
      <c r="X179" s="48"/>
      <c r="Y179" s="48">
        <v>0</v>
      </c>
      <c r="Z179" s="48"/>
      <c r="AA179" s="48">
        <v>0</v>
      </c>
      <c r="AB179" s="48"/>
      <c r="AC179" s="48">
        <v>0</v>
      </c>
      <c r="AD179" s="48"/>
      <c r="AE179" s="48">
        <v>0</v>
      </c>
      <c r="AF179" s="48"/>
      <c r="AG179" s="48">
        <v>0</v>
      </c>
      <c r="AH179" s="19">
        <f t="shared" si="8"/>
        <v>739240</v>
      </c>
      <c r="AI179" s="48">
        <f t="shared" si="9"/>
        <v>739240</v>
      </c>
      <c r="AJ179" s="5"/>
      <c r="AK179" s="87"/>
      <c r="AL179" s="87"/>
      <c r="AM179" s="87"/>
    </row>
    <row r="180" spans="1:39" ht="12" customHeight="1" x14ac:dyDescent="0.2">
      <c r="A180" s="1" t="s">
        <v>158</v>
      </c>
      <c r="C180" s="1" t="s">
        <v>226</v>
      </c>
      <c r="E180" s="48">
        <v>22724.87</v>
      </c>
      <c r="F180" s="48"/>
      <c r="G180" s="48">
        <v>22208.77</v>
      </c>
      <c r="H180" s="48"/>
      <c r="I180" s="48">
        <v>13248.65</v>
      </c>
      <c r="J180" s="48"/>
      <c r="K180" s="48">
        <v>0</v>
      </c>
      <c r="L180" s="48"/>
      <c r="M180" s="48">
        <v>0</v>
      </c>
      <c r="N180" s="48"/>
      <c r="O180" s="48">
        <v>20876.689999999999</v>
      </c>
      <c r="P180" s="48"/>
      <c r="Q180" s="48">
        <v>43.54</v>
      </c>
      <c r="R180" s="48"/>
      <c r="S180" s="48">
        <v>891.54</v>
      </c>
      <c r="T180" s="48"/>
      <c r="U180" s="48">
        <v>0</v>
      </c>
      <c r="V180" s="48"/>
      <c r="W180" s="48">
        <v>0</v>
      </c>
      <c r="X180" s="48"/>
      <c r="Y180" s="48">
        <v>0</v>
      </c>
      <c r="Z180" s="48"/>
      <c r="AA180" s="48">
        <v>0</v>
      </c>
      <c r="AB180" s="48"/>
      <c r="AC180" s="48">
        <v>0</v>
      </c>
      <c r="AD180" s="48"/>
      <c r="AE180" s="48">
        <v>0</v>
      </c>
      <c r="AF180" s="48"/>
      <c r="AG180" s="48">
        <v>0</v>
      </c>
      <c r="AH180" s="19">
        <f t="shared" si="8"/>
        <v>79994.059999999983</v>
      </c>
      <c r="AI180" s="48">
        <f t="shared" si="9"/>
        <v>79994.059999999983</v>
      </c>
      <c r="AJ180" s="5"/>
      <c r="AK180" s="67"/>
      <c r="AL180" s="67"/>
      <c r="AM180" s="67"/>
    </row>
    <row r="181" spans="1:39" ht="12" customHeight="1" x14ac:dyDescent="0.2">
      <c r="A181" s="1" t="s">
        <v>235</v>
      </c>
      <c r="C181" s="1" t="s">
        <v>554</v>
      </c>
      <c r="E181" s="48">
        <v>20312.47</v>
      </c>
      <c r="F181" s="48"/>
      <c r="G181" s="48">
        <v>268283.09000000003</v>
      </c>
      <c r="H181" s="48"/>
      <c r="I181" s="48">
        <v>63515.1</v>
      </c>
      <c r="J181" s="48"/>
      <c r="K181" s="48">
        <v>1369.01</v>
      </c>
      <c r="L181" s="48"/>
      <c r="M181" s="48">
        <v>0</v>
      </c>
      <c r="N181" s="48"/>
      <c r="O181" s="48">
        <v>6231.11</v>
      </c>
      <c r="P181" s="48"/>
      <c r="Q181" s="48">
        <v>266.33999999999997</v>
      </c>
      <c r="R181" s="48"/>
      <c r="S181" s="48">
        <v>22282.13</v>
      </c>
      <c r="T181" s="48"/>
      <c r="U181" s="48">
        <v>0</v>
      </c>
      <c r="V181" s="48"/>
      <c r="W181" s="48">
        <v>0</v>
      </c>
      <c r="X181" s="48"/>
      <c r="Y181" s="48">
        <v>0</v>
      </c>
      <c r="Z181" s="48"/>
      <c r="AA181" s="48">
        <v>0</v>
      </c>
      <c r="AB181" s="48"/>
      <c r="AC181" s="48">
        <v>0</v>
      </c>
      <c r="AD181" s="48"/>
      <c r="AE181" s="48">
        <v>7311.63</v>
      </c>
      <c r="AF181" s="48"/>
      <c r="AG181" s="48">
        <v>0</v>
      </c>
      <c r="AH181" s="19">
        <f t="shared" si="8"/>
        <v>389570.88000000006</v>
      </c>
      <c r="AI181" s="48">
        <f t="shared" si="9"/>
        <v>389570.88000000006</v>
      </c>
      <c r="AJ181" s="8"/>
      <c r="AK181" s="15"/>
      <c r="AL181" s="15"/>
      <c r="AM181" s="15"/>
    </row>
    <row r="182" spans="1:39" ht="12" customHeight="1" x14ac:dyDescent="0.2">
      <c r="A182" s="1" t="s">
        <v>185</v>
      </c>
      <c r="C182" s="1" t="s">
        <v>472</v>
      </c>
      <c r="E182" s="48">
        <v>24244.13</v>
      </c>
      <c r="F182" s="48"/>
      <c r="G182" s="48">
        <v>0</v>
      </c>
      <c r="H182" s="48"/>
      <c r="I182" s="48">
        <v>21264.43</v>
      </c>
      <c r="J182" s="48"/>
      <c r="K182" s="48">
        <v>0</v>
      </c>
      <c r="L182" s="48"/>
      <c r="M182" s="48">
        <v>37319.64</v>
      </c>
      <c r="N182" s="48"/>
      <c r="O182" s="48">
        <v>65</v>
      </c>
      <c r="P182" s="48"/>
      <c r="Q182" s="48">
        <v>2771.52</v>
      </c>
      <c r="R182" s="48"/>
      <c r="S182" s="48">
        <v>7844.38</v>
      </c>
      <c r="T182" s="48"/>
      <c r="U182" s="48">
        <v>0</v>
      </c>
      <c r="V182" s="48"/>
      <c r="W182" s="48">
        <v>0</v>
      </c>
      <c r="X182" s="48"/>
      <c r="Y182" s="48">
        <v>0</v>
      </c>
      <c r="Z182" s="48"/>
      <c r="AA182" s="48">
        <v>17574.919999999998</v>
      </c>
      <c r="AB182" s="48"/>
      <c r="AC182" s="48">
        <v>0</v>
      </c>
      <c r="AD182" s="48"/>
      <c r="AE182" s="48">
        <v>0</v>
      </c>
      <c r="AF182" s="48"/>
      <c r="AG182" s="48">
        <v>0</v>
      </c>
      <c r="AH182" s="19">
        <f t="shared" si="8"/>
        <v>111084.02</v>
      </c>
      <c r="AI182" s="48">
        <f t="shared" si="9"/>
        <v>111084.02</v>
      </c>
      <c r="AJ182" s="8"/>
      <c r="AK182" s="15"/>
      <c r="AL182" s="15"/>
      <c r="AM182" s="15"/>
    </row>
    <row r="183" spans="1:39" s="67" customFormat="1" ht="12" customHeight="1" x14ac:dyDescent="0.2">
      <c r="A183" s="1" t="s">
        <v>3</v>
      </c>
      <c r="B183" s="1"/>
      <c r="C183" s="1" t="s">
        <v>651</v>
      </c>
      <c r="D183" s="1"/>
      <c r="E183" s="48">
        <v>64251.79</v>
      </c>
      <c r="F183" s="48"/>
      <c r="G183" s="48">
        <v>0</v>
      </c>
      <c r="H183" s="48"/>
      <c r="I183" s="48">
        <v>51248.37</v>
      </c>
      <c r="J183" s="48"/>
      <c r="K183" s="48">
        <v>0</v>
      </c>
      <c r="L183" s="48"/>
      <c r="M183" s="48">
        <v>0</v>
      </c>
      <c r="N183" s="48"/>
      <c r="O183" s="48">
        <v>37287.07</v>
      </c>
      <c r="P183" s="48"/>
      <c r="Q183" s="48">
        <v>160.88</v>
      </c>
      <c r="R183" s="48"/>
      <c r="S183" s="48">
        <v>3594.66</v>
      </c>
      <c r="T183" s="48"/>
      <c r="U183" s="48">
        <v>0</v>
      </c>
      <c r="V183" s="48"/>
      <c r="W183" s="48">
        <v>0</v>
      </c>
      <c r="X183" s="48"/>
      <c r="Y183" s="48">
        <v>0</v>
      </c>
      <c r="Z183" s="48"/>
      <c r="AA183" s="48">
        <v>279511.64</v>
      </c>
      <c r="AB183" s="48"/>
      <c r="AC183" s="48">
        <v>0</v>
      </c>
      <c r="AD183" s="48"/>
      <c r="AE183" s="48">
        <v>0</v>
      </c>
      <c r="AF183" s="48"/>
      <c r="AG183" s="48">
        <v>0</v>
      </c>
      <c r="AH183" s="19">
        <f t="shared" si="8"/>
        <v>436054.41000000003</v>
      </c>
      <c r="AI183" s="48">
        <f t="shared" si="9"/>
        <v>436054.41000000003</v>
      </c>
      <c r="AJ183" s="5"/>
      <c r="AK183" s="87"/>
      <c r="AL183" s="87"/>
      <c r="AM183" s="87"/>
    </row>
    <row r="184" spans="1:39" ht="12" customHeight="1" x14ac:dyDescent="0.2">
      <c r="A184" s="1" t="s">
        <v>166</v>
      </c>
      <c r="C184" s="1" t="s">
        <v>192</v>
      </c>
      <c r="E184" s="48">
        <v>172725.11</v>
      </c>
      <c r="F184" s="48"/>
      <c r="G184" s="48">
        <v>291102.06</v>
      </c>
      <c r="H184" s="48"/>
      <c r="I184" s="48">
        <v>52864.01</v>
      </c>
      <c r="J184" s="48"/>
      <c r="K184" s="48">
        <v>0</v>
      </c>
      <c r="L184" s="48"/>
      <c r="M184" s="48">
        <v>8545.15</v>
      </c>
      <c r="N184" s="48"/>
      <c r="O184" s="48">
        <v>13968.15</v>
      </c>
      <c r="P184" s="48"/>
      <c r="Q184" s="48">
        <v>2670.93</v>
      </c>
      <c r="R184" s="48"/>
      <c r="S184" s="48">
        <v>15812.98</v>
      </c>
      <c r="T184" s="48"/>
      <c r="U184" s="48">
        <v>0</v>
      </c>
      <c r="V184" s="48"/>
      <c r="W184" s="48">
        <v>0</v>
      </c>
      <c r="X184" s="48"/>
      <c r="Y184" s="48">
        <v>0</v>
      </c>
      <c r="Z184" s="48"/>
      <c r="AA184" s="48">
        <v>0</v>
      </c>
      <c r="AB184" s="48"/>
      <c r="AC184" s="48">
        <v>0</v>
      </c>
      <c r="AD184" s="48"/>
      <c r="AE184" s="48">
        <v>0</v>
      </c>
      <c r="AF184" s="48"/>
      <c r="AG184" s="48">
        <v>0</v>
      </c>
      <c r="AH184" s="19">
        <f t="shared" si="8"/>
        <v>557688.39</v>
      </c>
      <c r="AI184" s="48">
        <f t="shared" si="9"/>
        <v>557688.39</v>
      </c>
      <c r="AJ184" s="5"/>
      <c r="AK184" s="4"/>
      <c r="AL184" s="4"/>
      <c r="AM184" s="4"/>
    </row>
    <row r="185" spans="1:39" s="6" customFormat="1" ht="12" customHeight="1" x14ac:dyDescent="0.2">
      <c r="A185" s="1" t="s">
        <v>87</v>
      </c>
      <c r="B185" s="1"/>
      <c r="C185" s="1" t="s">
        <v>351</v>
      </c>
      <c r="D185" s="1"/>
      <c r="E185" s="48">
        <v>241480.05</v>
      </c>
      <c r="F185" s="48"/>
      <c r="G185" s="48">
        <v>267136.78999999998</v>
      </c>
      <c r="H185" s="48"/>
      <c r="I185" s="48">
        <v>57268.57</v>
      </c>
      <c r="J185" s="48"/>
      <c r="K185" s="48">
        <v>0</v>
      </c>
      <c r="L185" s="48"/>
      <c r="M185" s="48">
        <v>189146.27</v>
      </c>
      <c r="N185" s="48"/>
      <c r="O185" s="48">
        <v>488360.32</v>
      </c>
      <c r="P185" s="48"/>
      <c r="Q185" s="48">
        <v>477.63</v>
      </c>
      <c r="R185" s="48"/>
      <c r="S185" s="48">
        <v>45296.09</v>
      </c>
      <c r="T185" s="48"/>
      <c r="U185" s="48">
        <v>0</v>
      </c>
      <c r="V185" s="48"/>
      <c r="W185" s="48">
        <v>0</v>
      </c>
      <c r="X185" s="48"/>
      <c r="Y185" s="48">
        <v>0</v>
      </c>
      <c r="Z185" s="48"/>
      <c r="AA185" s="48">
        <v>0</v>
      </c>
      <c r="AB185" s="48"/>
      <c r="AC185" s="48">
        <v>0</v>
      </c>
      <c r="AD185" s="48"/>
      <c r="AE185" s="48">
        <v>0</v>
      </c>
      <c r="AF185" s="48"/>
      <c r="AG185" s="48">
        <v>0</v>
      </c>
      <c r="AH185" s="19">
        <f t="shared" si="8"/>
        <v>1289165.72</v>
      </c>
      <c r="AI185" s="48">
        <f t="shared" si="9"/>
        <v>1289165.72</v>
      </c>
      <c r="AJ185" s="5"/>
      <c r="AK185" s="67"/>
      <c r="AL185" s="67"/>
      <c r="AM185" s="67"/>
    </row>
    <row r="186" spans="1:39" s="67" customFormat="1" ht="12" customHeight="1" x14ac:dyDescent="0.2">
      <c r="A186" s="1" t="s">
        <v>273</v>
      </c>
      <c r="B186" s="1"/>
      <c r="C186" s="1" t="s">
        <v>274</v>
      </c>
      <c r="D186" s="1"/>
      <c r="E186" s="48">
        <f>148188+10831</f>
        <v>159019</v>
      </c>
      <c r="F186" s="48"/>
      <c r="G186" s="48">
        <v>0</v>
      </c>
      <c r="H186" s="48"/>
      <c r="I186" s="48">
        <f>78846+6039</f>
        <v>84885</v>
      </c>
      <c r="J186" s="48"/>
      <c r="K186" s="48">
        <v>143</v>
      </c>
      <c r="L186" s="48"/>
      <c r="M186" s="48">
        <v>0</v>
      </c>
      <c r="N186" s="48"/>
      <c r="O186" s="48">
        <f>2885+46764</f>
        <v>49649</v>
      </c>
      <c r="P186" s="48"/>
      <c r="Q186" s="48">
        <v>712</v>
      </c>
      <c r="R186" s="48"/>
      <c r="S186" s="48">
        <v>155180</v>
      </c>
      <c r="T186" s="48"/>
      <c r="U186" s="48">
        <v>0</v>
      </c>
      <c r="V186" s="48"/>
      <c r="W186" s="48">
        <v>0</v>
      </c>
      <c r="X186" s="48"/>
      <c r="Y186" s="48">
        <v>0</v>
      </c>
      <c r="Z186" s="48"/>
      <c r="AA186" s="48">
        <v>0</v>
      </c>
      <c r="AB186" s="48"/>
      <c r="AC186" s="48">
        <v>21167</v>
      </c>
      <c r="AD186" s="48"/>
      <c r="AE186" s="48">
        <v>0</v>
      </c>
      <c r="AF186" s="48"/>
      <c r="AG186" s="48">
        <v>0</v>
      </c>
      <c r="AH186" s="19">
        <f t="shared" si="8"/>
        <v>470755</v>
      </c>
      <c r="AI186" s="48">
        <f t="shared" si="9"/>
        <v>470755</v>
      </c>
      <c r="AJ186" s="17"/>
    </row>
    <row r="187" spans="1:39" s="67" customFormat="1" ht="12" customHeight="1" x14ac:dyDescent="0.2">
      <c r="A187" s="1" t="s">
        <v>353</v>
      </c>
      <c r="B187" s="1"/>
      <c r="C187" s="1" t="s">
        <v>351</v>
      </c>
      <c r="D187" s="1"/>
      <c r="E187" s="48">
        <v>0</v>
      </c>
      <c r="F187" s="48"/>
      <c r="G187" s="48">
        <v>13168803</v>
      </c>
      <c r="H187" s="48"/>
      <c r="I187" s="48">
        <v>192528</v>
      </c>
      <c r="J187" s="48"/>
      <c r="K187" s="48">
        <v>0</v>
      </c>
      <c r="L187" s="48"/>
      <c r="M187" s="48">
        <v>243262</v>
      </c>
      <c r="N187" s="48"/>
      <c r="O187" s="48">
        <v>238801</v>
      </c>
      <c r="P187" s="48"/>
      <c r="Q187" s="48">
        <v>33744</v>
      </c>
      <c r="R187" s="48"/>
      <c r="S187" s="48">
        <v>0</v>
      </c>
      <c r="T187" s="48"/>
      <c r="U187" s="48">
        <v>0</v>
      </c>
      <c r="V187" s="48"/>
      <c r="W187" s="48">
        <v>0</v>
      </c>
      <c r="X187" s="48"/>
      <c r="Y187" s="48">
        <v>21140</v>
      </c>
      <c r="Z187" s="48"/>
      <c r="AA187" s="48">
        <v>0</v>
      </c>
      <c r="AB187" s="48"/>
      <c r="AC187" s="48">
        <v>100000</v>
      </c>
      <c r="AD187" s="48"/>
      <c r="AE187" s="48">
        <v>85662</v>
      </c>
      <c r="AF187" s="48"/>
      <c r="AG187" s="48">
        <v>0</v>
      </c>
      <c r="AH187" s="19">
        <f t="shared" si="8"/>
        <v>14083940</v>
      </c>
      <c r="AI187" s="48">
        <f t="shared" si="9"/>
        <v>14083940</v>
      </c>
      <c r="AJ187" s="17"/>
    </row>
    <row r="188" spans="1:39" s="5" customFormat="1" ht="12" customHeight="1" x14ac:dyDescent="0.2">
      <c r="A188" s="1" t="s">
        <v>88</v>
      </c>
      <c r="B188" s="1"/>
      <c r="C188" s="1" t="s">
        <v>351</v>
      </c>
      <c r="D188" s="1"/>
      <c r="E188" s="48">
        <v>132339.38</v>
      </c>
      <c r="F188" s="48"/>
      <c r="G188" s="48">
        <v>3183534.66</v>
      </c>
      <c r="H188" s="48"/>
      <c r="I188" s="48">
        <v>55486.96</v>
      </c>
      <c r="J188" s="48"/>
      <c r="K188" s="48">
        <v>0</v>
      </c>
      <c r="L188" s="48"/>
      <c r="M188" s="48">
        <v>14585.99</v>
      </c>
      <c r="N188" s="48"/>
      <c r="O188" s="48">
        <v>203613.83</v>
      </c>
      <c r="P188" s="48"/>
      <c r="Q188" s="48">
        <v>4283.95</v>
      </c>
      <c r="R188" s="48"/>
      <c r="S188" s="48">
        <v>164926.67000000001</v>
      </c>
      <c r="T188" s="48"/>
      <c r="U188" s="48">
        <v>0</v>
      </c>
      <c r="V188" s="48"/>
      <c r="W188" s="48">
        <v>0</v>
      </c>
      <c r="X188" s="48"/>
      <c r="Y188" s="48">
        <v>0</v>
      </c>
      <c r="Z188" s="48"/>
      <c r="AA188" s="48">
        <v>0</v>
      </c>
      <c r="AB188" s="48"/>
      <c r="AC188" s="48">
        <v>46504.32</v>
      </c>
      <c r="AD188" s="48"/>
      <c r="AE188" s="48">
        <v>0</v>
      </c>
      <c r="AF188" s="48"/>
      <c r="AG188" s="48">
        <v>0</v>
      </c>
      <c r="AH188" s="19">
        <f t="shared" si="8"/>
        <v>3805275.7600000002</v>
      </c>
      <c r="AI188" s="48">
        <f t="shared" si="9"/>
        <v>3805275.7600000002</v>
      </c>
      <c r="AJ188" s="18"/>
      <c r="AK188" s="14"/>
      <c r="AL188" s="14"/>
      <c r="AM188" s="14"/>
    </row>
    <row r="189" spans="1:39" ht="12" customHeight="1" x14ac:dyDescent="0.2">
      <c r="A189" s="1" t="s">
        <v>398</v>
      </c>
      <c r="C189" s="1" t="s">
        <v>399</v>
      </c>
      <c r="E189" s="48">
        <v>383713.7</v>
      </c>
      <c r="F189" s="48"/>
      <c r="G189" s="48">
        <v>704918.08</v>
      </c>
      <c r="H189" s="48"/>
      <c r="I189" s="48">
        <v>298251.96000000002</v>
      </c>
      <c r="J189" s="48"/>
      <c r="K189" s="48">
        <v>0</v>
      </c>
      <c r="L189" s="48"/>
      <c r="M189" s="48">
        <v>128742.92</v>
      </c>
      <c r="N189" s="48"/>
      <c r="O189" s="48">
        <v>90633.82</v>
      </c>
      <c r="P189" s="48"/>
      <c r="Q189" s="48">
        <v>2803.97</v>
      </c>
      <c r="R189" s="48"/>
      <c r="S189" s="48">
        <v>101106.26</v>
      </c>
      <c r="T189" s="48"/>
      <c r="U189" s="48">
        <v>0</v>
      </c>
      <c r="V189" s="48"/>
      <c r="W189" s="48">
        <v>0</v>
      </c>
      <c r="X189" s="48"/>
      <c r="Y189" s="48">
        <v>0</v>
      </c>
      <c r="Z189" s="48"/>
      <c r="AA189" s="48">
        <v>0</v>
      </c>
      <c r="AB189" s="48"/>
      <c r="AC189" s="48">
        <v>51802</v>
      </c>
      <c r="AD189" s="48"/>
      <c r="AE189" s="48">
        <v>0</v>
      </c>
      <c r="AF189" s="48"/>
      <c r="AG189" s="48">
        <v>0</v>
      </c>
      <c r="AH189" s="19">
        <f t="shared" si="8"/>
        <v>1761972.71</v>
      </c>
      <c r="AI189" s="48">
        <f t="shared" si="9"/>
        <v>1761972.71</v>
      </c>
      <c r="AJ189" s="17"/>
      <c r="AK189" s="67"/>
      <c r="AL189" s="67"/>
      <c r="AM189" s="67"/>
    </row>
    <row r="190" spans="1:39" s="14" customFormat="1" ht="12" customHeight="1" x14ac:dyDescent="0.2">
      <c r="A190" s="1" t="s">
        <v>153</v>
      </c>
      <c r="B190" s="1"/>
      <c r="C190" s="1" t="s">
        <v>446</v>
      </c>
      <c r="D190" s="1"/>
      <c r="E190" s="48">
        <v>77897.710000000006</v>
      </c>
      <c r="F190" s="48"/>
      <c r="G190" s="48">
        <v>154866.17000000001</v>
      </c>
      <c r="H190" s="48"/>
      <c r="I190" s="48">
        <v>47934.87</v>
      </c>
      <c r="J190" s="48"/>
      <c r="K190" s="48">
        <v>0</v>
      </c>
      <c r="L190" s="48"/>
      <c r="M190" s="48">
        <v>3300</v>
      </c>
      <c r="N190" s="48"/>
      <c r="O190" s="48">
        <v>5438.25</v>
      </c>
      <c r="P190" s="48"/>
      <c r="Q190" s="48">
        <v>585.30999999999995</v>
      </c>
      <c r="R190" s="48"/>
      <c r="S190" s="48">
        <v>12148.19</v>
      </c>
      <c r="T190" s="48"/>
      <c r="U190" s="48">
        <v>0</v>
      </c>
      <c r="V190" s="48"/>
      <c r="W190" s="48">
        <v>0</v>
      </c>
      <c r="X190" s="48"/>
      <c r="Y190" s="48">
        <v>0</v>
      </c>
      <c r="Z190" s="48"/>
      <c r="AA190" s="48">
        <v>23176.97</v>
      </c>
      <c r="AB190" s="48"/>
      <c r="AC190" s="48">
        <v>28020</v>
      </c>
      <c r="AD190" s="48"/>
      <c r="AE190" s="48">
        <v>0</v>
      </c>
      <c r="AF190" s="48"/>
      <c r="AG190" s="48">
        <v>0</v>
      </c>
      <c r="AH190" s="19">
        <f t="shared" si="8"/>
        <v>353367.47</v>
      </c>
      <c r="AI190" s="48">
        <f t="shared" si="9"/>
        <v>353367.47</v>
      </c>
      <c r="AJ190" s="17"/>
      <c r="AK190" s="67"/>
      <c r="AL190" s="67"/>
      <c r="AM190" s="67"/>
    </row>
    <row r="191" spans="1:39" ht="12" customHeight="1" x14ac:dyDescent="0.2">
      <c r="A191" s="1" t="s">
        <v>334</v>
      </c>
      <c r="C191" s="1" t="s">
        <v>332</v>
      </c>
      <c r="E191" s="48">
        <v>45783</v>
      </c>
      <c r="F191" s="48"/>
      <c r="G191" s="48">
        <v>311032</v>
      </c>
      <c r="H191" s="48"/>
      <c r="I191" s="48">
        <v>72305</v>
      </c>
      <c r="J191" s="48"/>
      <c r="K191" s="48">
        <v>0</v>
      </c>
      <c r="L191" s="48"/>
      <c r="M191" s="48">
        <v>60</v>
      </c>
      <c r="N191" s="48"/>
      <c r="O191" s="48">
        <v>4168</v>
      </c>
      <c r="P191" s="48"/>
      <c r="Q191" s="48">
        <v>3643</v>
      </c>
      <c r="R191" s="48"/>
      <c r="S191" s="48">
        <v>15347</v>
      </c>
      <c r="T191" s="48"/>
      <c r="U191" s="48">
        <v>0</v>
      </c>
      <c r="V191" s="48"/>
      <c r="W191" s="48">
        <v>0</v>
      </c>
      <c r="X191" s="48"/>
      <c r="Y191" s="48">
        <v>0</v>
      </c>
      <c r="Z191" s="48"/>
      <c r="AA191" s="48">
        <v>7509</v>
      </c>
      <c r="AB191" s="48"/>
      <c r="AC191" s="48">
        <v>0</v>
      </c>
      <c r="AD191" s="48"/>
      <c r="AE191" s="48">
        <v>3355</v>
      </c>
      <c r="AF191" s="48"/>
      <c r="AG191" s="48">
        <v>0</v>
      </c>
      <c r="AH191" s="19">
        <f t="shared" si="8"/>
        <v>463202</v>
      </c>
      <c r="AI191" s="48">
        <f t="shared" si="9"/>
        <v>463202</v>
      </c>
      <c r="AJ191" s="5"/>
    </row>
    <row r="192" spans="1:39" s="67" customFormat="1" ht="12" customHeight="1" x14ac:dyDescent="0.2">
      <c r="A192" s="1" t="s">
        <v>21</v>
      </c>
      <c r="B192" s="1"/>
      <c r="C192" s="1" t="s">
        <v>265</v>
      </c>
      <c r="D192" s="1"/>
      <c r="E192" s="48">
        <v>39201.31</v>
      </c>
      <c r="F192" s="48"/>
      <c r="G192" s="48">
        <v>0</v>
      </c>
      <c r="H192" s="48"/>
      <c r="I192" s="48">
        <v>12576.22</v>
      </c>
      <c r="J192" s="48"/>
      <c r="K192" s="48">
        <v>0</v>
      </c>
      <c r="L192" s="48"/>
      <c r="M192" s="48">
        <v>6050</v>
      </c>
      <c r="N192" s="48"/>
      <c r="O192" s="48">
        <v>58038.74</v>
      </c>
      <c r="P192" s="48"/>
      <c r="Q192" s="48">
        <v>827.41</v>
      </c>
      <c r="R192" s="48"/>
      <c r="S192" s="48">
        <v>1233.1300000000001</v>
      </c>
      <c r="T192" s="48"/>
      <c r="U192" s="48">
        <v>0</v>
      </c>
      <c r="V192" s="48"/>
      <c r="W192" s="48">
        <v>0</v>
      </c>
      <c r="X192" s="48"/>
      <c r="Y192" s="48">
        <v>0</v>
      </c>
      <c r="Z192" s="48"/>
      <c r="AA192" s="48">
        <v>6114</v>
      </c>
      <c r="AB192" s="48"/>
      <c r="AC192" s="48">
        <v>0</v>
      </c>
      <c r="AD192" s="48"/>
      <c r="AE192" s="48">
        <v>7680</v>
      </c>
      <c r="AF192" s="48"/>
      <c r="AG192" s="48">
        <v>0</v>
      </c>
      <c r="AH192" s="19">
        <f t="shared" si="8"/>
        <v>131720.81</v>
      </c>
      <c r="AI192" s="48">
        <f t="shared" si="9"/>
        <v>131720.81</v>
      </c>
      <c r="AJ192" s="5"/>
      <c r="AK192" s="1"/>
      <c r="AL192" s="1"/>
      <c r="AM192" s="1"/>
    </row>
    <row r="193" spans="1:39" ht="12" customHeight="1" x14ac:dyDescent="0.2">
      <c r="A193" s="1" t="s">
        <v>798</v>
      </c>
      <c r="C193" s="1" t="s">
        <v>437</v>
      </c>
      <c r="E193" s="48">
        <v>3752.76</v>
      </c>
      <c r="F193" s="48"/>
      <c r="G193" s="48">
        <v>0</v>
      </c>
      <c r="H193" s="48"/>
      <c r="I193" s="48">
        <v>16680.39</v>
      </c>
      <c r="J193" s="48"/>
      <c r="K193" s="48">
        <v>0</v>
      </c>
      <c r="L193" s="48"/>
      <c r="M193" s="48">
        <v>0</v>
      </c>
      <c r="N193" s="48"/>
      <c r="O193" s="48">
        <v>50</v>
      </c>
      <c r="P193" s="48"/>
      <c r="Q193" s="48">
        <v>59.31</v>
      </c>
      <c r="R193" s="48"/>
      <c r="S193" s="48">
        <v>6840.5</v>
      </c>
      <c r="T193" s="48"/>
      <c r="U193" s="48">
        <v>0</v>
      </c>
      <c r="V193" s="48"/>
      <c r="W193" s="48">
        <v>0</v>
      </c>
      <c r="X193" s="48"/>
      <c r="Y193" s="48">
        <v>0</v>
      </c>
      <c r="Z193" s="48"/>
      <c r="AA193" s="48">
        <v>0</v>
      </c>
      <c r="AB193" s="48"/>
      <c r="AC193" s="48">
        <v>0</v>
      </c>
      <c r="AD193" s="48"/>
      <c r="AE193" s="48">
        <v>0</v>
      </c>
      <c r="AF193" s="48"/>
      <c r="AG193" s="48">
        <v>0</v>
      </c>
      <c r="AH193" s="19">
        <f t="shared" si="8"/>
        <v>27382.960000000003</v>
      </c>
      <c r="AI193" s="48">
        <f t="shared" si="9"/>
        <v>27382.960000000003</v>
      </c>
      <c r="AJ193" s="5"/>
    </row>
    <row r="194" spans="1:39" ht="12" customHeight="1" x14ac:dyDescent="0.2">
      <c r="A194" s="1" t="s">
        <v>100</v>
      </c>
      <c r="C194" s="1" t="s">
        <v>377</v>
      </c>
      <c r="E194" s="48">
        <v>20478.96</v>
      </c>
      <c r="F194" s="48"/>
      <c r="G194" s="48">
        <v>0</v>
      </c>
      <c r="H194" s="48"/>
      <c r="I194" s="48">
        <v>8251.93</v>
      </c>
      <c r="J194" s="48"/>
      <c r="K194" s="48">
        <v>0</v>
      </c>
      <c r="L194" s="48"/>
      <c r="M194" s="48">
        <v>0</v>
      </c>
      <c r="N194" s="48"/>
      <c r="O194" s="48">
        <v>0</v>
      </c>
      <c r="P194" s="48"/>
      <c r="Q194" s="48">
        <v>228.29</v>
      </c>
      <c r="R194" s="48"/>
      <c r="S194" s="48">
        <v>3140.77</v>
      </c>
      <c r="T194" s="48"/>
      <c r="U194" s="48">
        <v>0</v>
      </c>
      <c r="V194" s="48"/>
      <c r="W194" s="48">
        <v>0</v>
      </c>
      <c r="X194" s="48"/>
      <c r="Y194" s="48">
        <v>0</v>
      </c>
      <c r="Z194" s="48"/>
      <c r="AA194" s="48">
        <v>3029.57</v>
      </c>
      <c r="AB194" s="48"/>
      <c r="AC194" s="48">
        <v>0</v>
      </c>
      <c r="AD194" s="48"/>
      <c r="AE194" s="48">
        <v>6460.37</v>
      </c>
      <c r="AF194" s="48"/>
      <c r="AG194" s="48">
        <v>0</v>
      </c>
      <c r="AH194" s="19">
        <f t="shared" si="8"/>
        <v>41589.890000000007</v>
      </c>
      <c r="AI194" s="48">
        <f t="shared" si="9"/>
        <v>41589.890000000007</v>
      </c>
      <c r="AJ194" s="5"/>
      <c r="AK194" s="67"/>
      <c r="AL194" s="67"/>
      <c r="AM194" s="67"/>
    </row>
    <row r="195" spans="1:39" ht="12" customHeight="1" x14ac:dyDescent="0.2">
      <c r="A195" s="1" t="s">
        <v>799</v>
      </c>
      <c r="C195" s="1" t="s">
        <v>261</v>
      </c>
      <c r="E195" s="48">
        <v>28166.720000000001</v>
      </c>
      <c r="F195" s="48"/>
      <c r="G195" s="48">
        <v>0</v>
      </c>
      <c r="H195" s="48"/>
      <c r="I195" s="48">
        <v>32758.47</v>
      </c>
      <c r="J195" s="48"/>
      <c r="K195" s="48">
        <v>0</v>
      </c>
      <c r="L195" s="48"/>
      <c r="M195" s="48">
        <v>0</v>
      </c>
      <c r="N195" s="48"/>
      <c r="O195" s="48">
        <v>0</v>
      </c>
      <c r="P195" s="48"/>
      <c r="Q195" s="48">
        <v>5138.62</v>
      </c>
      <c r="R195" s="48"/>
      <c r="S195" s="48">
        <v>4953.88</v>
      </c>
      <c r="T195" s="48"/>
      <c r="U195" s="48">
        <v>0</v>
      </c>
      <c r="V195" s="48"/>
      <c r="W195" s="48">
        <v>0</v>
      </c>
      <c r="X195" s="48"/>
      <c r="Y195" s="48">
        <v>0</v>
      </c>
      <c r="Z195" s="48"/>
      <c r="AA195" s="48">
        <v>0</v>
      </c>
      <c r="AB195" s="48"/>
      <c r="AC195" s="48">
        <v>0</v>
      </c>
      <c r="AD195" s="48"/>
      <c r="AE195" s="48">
        <v>0</v>
      </c>
      <c r="AF195" s="48"/>
      <c r="AG195" s="48">
        <v>0</v>
      </c>
      <c r="AH195" s="19">
        <f t="shared" ref="AH195:AH237" si="10">SUM(D195:AF195)</f>
        <v>71017.69</v>
      </c>
      <c r="AI195" s="48">
        <f t="shared" si="9"/>
        <v>71017.69</v>
      </c>
      <c r="AJ195" s="5"/>
      <c r="AK195" s="67"/>
      <c r="AL195" s="67"/>
      <c r="AM195" s="67"/>
    </row>
    <row r="196" spans="1:39" ht="12" customHeight="1" x14ac:dyDescent="0.2">
      <c r="A196" s="1" t="s">
        <v>368</v>
      </c>
      <c r="C196" s="1" t="s">
        <v>366</v>
      </c>
      <c r="E196" s="48">
        <v>26129</v>
      </c>
      <c r="F196" s="48"/>
      <c r="G196" s="48">
        <v>274562</v>
      </c>
      <c r="H196" s="48"/>
      <c r="I196" s="48">
        <v>49415</v>
      </c>
      <c r="J196" s="48"/>
      <c r="K196" s="48">
        <v>0</v>
      </c>
      <c r="L196" s="48"/>
      <c r="M196" s="48">
        <v>10989</v>
      </c>
      <c r="N196" s="48"/>
      <c r="O196" s="48">
        <v>5325</v>
      </c>
      <c r="P196" s="48"/>
      <c r="Q196" s="48">
        <v>1410</v>
      </c>
      <c r="R196" s="48"/>
      <c r="S196" s="48">
        <v>23947</v>
      </c>
      <c r="T196" s="48"/>
      <c r="U196" s="48">
        <v>0</v>
      </c>
      <c r="V196" s="48"/>
      <c r="W196" s="48">
        <v>0</v>
      </c>
      <c r="X196" s="48"/>
      <c r="Y196" s="48">
        <v>0</v>
      </c>
      <c r="Z196" s="48"/>
      <c r="AA196" s="48">
        <v>0</v>
      </c>
      <c r="AB196" s="48"/>
      <c r="AC196" s="48">
        <v>0</v>
      </c>
      <c r="AD196" s="48"/>
      <c r="AE196" s="48">
        <v>25122</v>
      </c>
      <c r="AF196" s="48"/>
      <c r="AG196" s="48">
        <v>0</v>
      </c>
      <c r="AH196" s="19">
        <f t="shared" si="10"/>
        <v>416899</v>
      </c>
      <c r="AI196" s="48">
        <f t="shared" ref="AI196:AI238" si="11">SUM(E196:AG196)</f>
        <v>416899</v>
      </c>
      <c r="AJ196" s="5"/>
    </row>
    <row r="197" spans="1:39" s="67" customFormat="1" ht="12" customHeight="1" x14ac:dyDescent="0.2">
      <c r="A197" s="1" t="s">
        <v>189</v>
      </c>
      <c r="B197" s="1"/>
      <c r="C197" s="1" t="s">
        <v>476</v>
      </c>
      <c r="D197" s="1"/>
      <c r="E197" s="48">
        <v>14948.46</v>
      </c>
      <c r="F197" s="48"/>
      <c r="G197" s="48">
        <v>87744.91</v>
      </c>
      <c r="H197" s="48"/>
      <c r="I197" s="48">
        <v>22034.68</v>
      </c>
      <c r="J197" s="48"/>
      <c r="K197" s="48">
        <v>0</v>
      </c>
      <c r="L197" s="48"/>
      <c r="M197" s="48">
        <v>0</v>
      </c>
      <c r="N197" s="48"/>
      <c r="O197" s="48">
        <v>1700</v>
      </c>
      <c r="P197" s="48"/>
      <c r="Q197" s="48">
        <v>866.7</v>
      </c>
      <c r="R197" s="48"/>
      <c r="S197" s="48">
        <v>36372.089999999997</v>
      </c>
      <c r="T197" s="48"/>
      <c r="U197" s="48">
        <v>0</v>
      </c>
      <c r="V197" s="48"/>
      <c r="W197" s="48">
        <v>0</v>
      </c>
      <c r="X197" s="48"/>
      <c r="Y197" s="48">
        <v>0</v>
      </c>
      <c r="Z197" s="48"/>
      <c r="AA197" s="48">
        <v>0</v>
      </c>
      <c r="AB197" s="48"/>
      <c r="AC197" s="48">
        <v>0</v>
      </c>
      <c r="AD197" s="48"/>
      <c r="AE197" s="48">
        <v>0</v>
      </c>
      <c r="AF197" s="48"/>
      <c r="AG197" s="48">
        <v>0</v>
      </c>
      <c r="AH197" s="19">
        <f t="shared" si="10"/>
        <v>163666.83999999997</v>
      </c>
      <c r="AI197" s="48">
        <f t="shared" si="11"/>
        <v>163666.83999999997</v>
      </c>
      <c r="AJ197" s="5"/>
      <c r="AK197" s="1"/>
      <c r="AL197" s="1"/>
      <c r="AM197" s="1"/>
    </row>
    <row r="198" spans="1:39" ht="12" customHeight="1" x14ac:dyDescent="0.2">
      <c r="A198" s="1" t="s">
        <v>207</v>
      </c>
      <c r="C198" s="1" t="s">
        <v>498</v>
      </c>
      <c r="E198" s="48">
        <v>120906.9</v>
      </c>
      <c r="F198" s="48"/>
      <c r="G198" s="48">
        <v>1242278.29</v>
      </c>
      <c r="H198" s="48"/>
      <c r="I198" s="48">
        <v>95455.38</v>
      </c>
      <c r="J198" s="48"/>
      <c r="K198" s="48">
        <v>17337.009999999998</v>
      </c>
      <c r="L198" s="48"/>
      <c r="M198" s="48">
        <v>497.47</v>
      </c>
      <c r="N198" s="48"/>
      <c r="O198" s="48">
        <v>1755</v>
      </c>
      <c r="P198" s="48"/>
      <c r="Q198" s="48">
        <v>0</v>
      </c>
      <c r="R198" s="48"/>
      <c r="S198" s="48">
        <v>20449.41</v>
      </c>
      <c r="T198" s="48"/>
      <c r="U198" s="48">
        <v>0</v>
      </c>
      <c r="V198" s="48"/>
      <c r="W198" s="48">
        <v>0</v>
      </c>
      <c r="X198" s="48"/>
      <c r="Y198" s="48">
        <v>77500</v>
      </c>
      <c r="Z198" s="48"/>
      <c r="AA198" s="48">
        <v>0</v>
      </c>
      <c r="AB198" s="48"/>
      <c r="AC198" s="48">
        <v>0</v>
      </c>
      <c r="AD198" s="48"/>
      <c r="AE198" s="48">
        <v>0</v>
      </c>
      <c r="AF198" s="48"/>
      <c r="AG198" s="48">
        <v>0</v>
      </c>
      <c r="AH198" s="19">
        <f t="shared" si="10"/>
        <v>1576179.4599999997</v>
      </c>
      <c r="AI198" s="48">
        <f t="shared" si="11"/>
        <v>1576179.4599999997</v>
      </c>
      <c r="AJ198" s="5"/>
    </row>
    <row r="199" spans="1:39" s="67" customFormat="1" ht="12" customHeight="1" x14ac:dyDescent="0.2">
      <c r="A199" s="1" t="s">
        <v>434</v>
      </c>
      <c r="B199" s="1"/>
      <c r="C199" s="1" t="s">
        <v>433</v>
      </c>
      <c r="D199" s="1"/>
      <c r="E199" s="48">
        <v>134770</v>
      </c>
      <c r="F199" s="48"/>
      <c r="G199" s="48">
        <v>1081767</v>
      </c>
      <c r="H199" s="48"/>
      <c r="I199" s="48">
        <v>53556</v>
      </c>
      <c r="J199" s="48"/>
      <c r="K199" s="48">
        <v>24519</v>
      </c>
      <c r="L199" s="48"/>
      <c r="M199" s="48">
        <v>45214</v>
      </c>
      <c r="N199" s="48"/>
      <c r="O199" s="48">
        <v>2602</v>
      </c>
      <c r="P199" s="48"/>
      <c r="Q199" s="48">
        <v>7018</v>
      </c>
      <c r="R199" s="48"/>
      <c r="S199" s="48">
        <v>72065</v>
      </c>
      <c r="T199" s="48"/>
      <c r="U199" s="48">
        <v>0</v>
      </c>
      <c r="V199" s="48"/>
      <c r="W199" s="48">
        <v>0</v>
      </c>
      <c r="X199" s="48"/>
      <c r="Y199" s="48">
        <v>0</v>
      </c>
      <c r="Z199" s="48"/>
      <c r="AA199" s="48">
        <v>104</v>
      </c>
      <c r="AB199" s="48"/>
      <c r="AC199" s="48">
        <v>0</v>
      </c>
      <c r="AD199" s="48"/>
      <c r="AE199" s="48">
        <v>0</v>
      </c>
      <c r="AF199" s="48"/>
      <c r="AG199" s="48">
        <v>0</v>
      </c>
      <c r="AH199" s="19">
        <f t="shared" si="10"/>
        <v>1421615</v>
      </c>
      <c r="AI199" s="48">
        <f t="shared" si="11"/>
        <v>1421615</v>
      </c>
      <c r="AJ199" s="5"/>
      <c r="AK199" s="1"/>
      <c r="AL199" s="1"/>
      <c r="AM199" s="1"/>
    </row>
    <row r="200" spans="1:39" ht="12" customHeight="1" x14ac:dyDescent="0.2">
      <c r="A200" s="1" t="s">
        <v>197</v>
      </c>
      <c r="C200" s="1" t="s">
        <v>485</v>
      </c>
      <c r="E200" s="48">
        <v>43257.97</v>
      </c>
      <c r="F200" s="48"/>
      <c r="G200" s="48">
        <v>0</v>
      </c>
      <c r="H200" s="48"/>
      <c r="I200" s="48">
        <v>32100.54</v>
      </c>
      <c r="J200" s="48"/>
      <c r="K200" s="48">
        <v>0</v>
      </c>
      <c r="L200" s="48"/>
      <c r="M200" s="48">
        <v>0</v>
      </c>
      <c r="N200" s="48"/>
      <c r="O200" s="48">
        <v>23284.89</v>
      </c>
      <c r="P200" s="48"/>
      <c r="Q200" s="48">
        <v>909.18</v>
      </c>
      <c r="R200" s="48"/>
      <c r="S200" s="48">
        <v>0</v>
      </c>
      <c r="T200" s="48"/>
      <c r="U200" s="48">
        <v>0</v>
      </c>
      <c r="V200" s="48"/>
      <c r="W200" s="48">
        <v>0</v>
      </c>
      <c r="X200" s="48"/>
      <c r="Y200" s="48">
        <v>0</v>
      </c>
      <c r="Z200" s="48"/>
      <c r="AA200" s="48">
        <v>0</v>
      </c>
      <c r="AB200" s="48"/>
      <c r="AC200" s="48">
        <v>0</v>
      </c>
      <c r="AD200" s="48"/>
      <c r="AE200" s="48">
        <v>5604.62</v>
      </c>
      <c r="AF200" s="48"/>
      <c r="AG200" s="48">
        <v>0</v>
      </c>
      <c r="AH200" s="19">
        <f t="shared" si="10"/>
        <v>105157.2</v>
      </c>
      <c r="AI200" s="48">
        <f t="shared" si="11"/>
        <v>105157.2</v>
      </c>
      <c r="AJ200" s="5"/>
      <c r="AK200" s="4"/>
      <c r="AL200" s="4"/>
      <c r="AM200" s="4"/>
    </row>
    <row r="201" spans="1:39" s="67" customFormat="1" ht="12" customHeight="1" x14ac:dyDescent="0.2">
      <c r="A201" s="1" t="s">
        <v>161</v>
      </c>
      <c r="B201" s="1"/>
      <c r="C201" s="1" t="s">
        <v>450</v>
      </c>
      <c r="D201" s="1"/>
      <c r="E201" s="48">
        <v>33405.68</v>
      </c>
      <c r="F201" s="48"/>
      <c r="G201" s="48">
        <v>151904.18</v>
      </c>
      <c r="H201" s="48"/>
      <c r="I201" s="48">
        <v>18032.21</v>
      </c>
      <c r="J201" s="48"/>
      <c r="K201" s="48">
        <v>0</v>
      </c>
      <c r="L201" s="48"/>
      <c r="M201" s="48">
        <v>2228.5</v>
      </c>
      <c r="N201" s="48"/>
      <c r="O201" s="48">
        <v>10250.040000000001</v>
      </c>
      <c r="P201" s="48"/>
      <c r="Q201" s="48">
        <v>266.52999999999997</v>
      </c>
      <c r="R201" s="48"/>
      <c r="S201" s="48">
        <v>2024.62</v>
      </c>
      <c r="T201" s="48"/>
      <c r="U201" s="48">
        <v>0</v>
      </c>
      <c r="V201" s="48"/>
      <c r="W201" s="48">
        <v>0</v>
      </c>
      <c r="X201" s="48"/>
      <c r="Y201" s="48">
        <v>1136</v>
      </c>
      <c r="Z201" s="48"/>
      <c r="AA201" s="48">
        <v>18653.599999999999</v>
      </c>
      <c r="AB201" s="48"/>
      <c r="AC201" s="48">
        <v>0</v>
      </c>
      <c r="AD201" s="48"/>
      <c r="AE201" s="48">
        <v>60.1</v>
      </c>
      <c r="AF201" s="48"/>
      <c r="AG201" s="48">
        <v>0</v>
      </c>
      <c r="AH201" s="19">
        <f t="shared" si="10"/>
        <v>237961.46</v>
      </c>
      <c r="AI201" s="48">
        <f t="shared" si="11"/>
        <v>237961.46</v>
      </c>
      <c r="AJ201" s="5"/>
      <c r="AK201" s="1"/>
      <c r="AL201" s="1"/>
      <c r="AM201" s="1"/>
    </row>
    <row r="202" spans="1:39" s="67" customFormat="1" ht="12" customHeight="1" x14ac:dyDescent="0.2">
      <c r="A202" s="1" t="s">
        <v>551</v>
      </c>
      <c r="B202" s="1"/>
      <c r="C202" s="1" t="s">
        <v>547</v>
      </c>
      <c r="D202" s="1"/>
      <c r="E202" s="48">
        <v>19054</v>
      </c>
      <c r="F202" s="48"/>
      <c r="G202" s="48">
        <v>65213</v>
      </c>
      <c r="H202" s="48"/>
      <c r="I202" s="48">
        <v>10307</v>
      </c>
      <c r="J202" s="48"/>
      <c r="K202" s="48">
        <v>0</v>
      </c>
      <c r="L202" s="48"/>
      <c r="M202" s="48">
        <v>0</v>
      </c>
      <c r="N202" s="48"/>
      <c r="O202" s="48">
        <v>0</v>
      </c>
      <c r="P202" s="48"/>
      <c r="Q202" s="48">
        <v>531</v>
      </c>
      <c r="R202" s="48"/>
      <c r="S202" s="48">
        <v>11389</v>
      </c>
      <c r="T202" s="48"/>
      <c r="U202" s="48">
        <v>0</v>
      </c>
      <c r="V202" s="48"/>
      <c r="W202" s="48">
        <v>0</v>
      </c>
      <c r="X202" s="48"/>
      <c r="Y202" s="48">
        <v>0</v>
      </c>
      <c r="Z202" s="48"/>
      <c r="AA202" s="48">
        <v>0</v>
      </c>
      <c r="AB202" s="48"/>
      <c r="AC202" s="48">
        <v>0</v>
      </c>
      <c r="AD202" s="48"/>
      <c r="AE202" s="48">
        <v>0</v>
      </c>
      <c r="AF202" s="48"/>
      <c r="AG202" s="48">
        <v>0</v>
      </c>
      <c r="AH202" s="19">
        <f t="shared" si="10"/>
        <v>106494</v>
      </c>
      <c r="AI202" s="48">
        <f t="shared" si="11"/>
        <v>106494</v>
      </c>
      <c r="AJ202" s="5"/>
      <c r="AK202" s="1"/>
      <c r="AL202" s="1"/>
      <c r="AM202" s="1"/>
    </row>
    <row r="203" spans="1:39" ht="12" customHeight="1" x14ac:dyDescent="0.2">
      <c r="A203" s="1" t="s">
        <v>397</v>
      </c>
      <c r="C203" s="1" t="s">
        <v>396</v>
      </c>
      <c r="E203" s="48">
        <v>153985.38</v>
      </c>
      <c r="F203" s="48"/>
      <c r="G203" s="48">
        <v>462933.23</v>
      </c>
      <c r="H203" s="48"/>
      <c r="I203" s="48">
        <v>90778.18</v>
      </c>
      <c r="J203" s="48"/>
      <c r="K203" s="48">
        <v>0</v>
      </c>
      <c r="L203" s="48"/>
      <c r="M203" s="48">
        <v>499</v>
      </c>
      <c r="N203" s="48"/>
      <c r="O203" s="48">
        <v>34709.51</v>
      </c>
      <c r="P203" s="48"/>
      <c r="Q203" s="48">
        <v>225.49</v>
      </c>
      <c r="R203" s="48"/>
      <c r="S203" s="48">
        <v>4378.07</v>
      </c>
      <c r="T203" s="48"/>
      <c r="U203" s="48">
        <v>0</v>
      </c>
      <c r="V203" s="48"/>
      <c r="W203" s="48">
        <v>0</v>
      </c>
      <c r="X203" s="48"/>
      <c r="Y203" s="48">
        <v>0</v>
      </c>
      <c r="Z203" s="48"/>
      <c r="AA203" s="48">
        <v>0</v>
      </c>
      <c r="AB203" s="48"/>
      <c r="AC203" s="48">
        <v>0</v>
      </c>
      <c r="AD203" s="48"/>
      <c r="AE203" s="48">
        <v>0</v>
      </c>
      <c r="AF203" s="48"/>
      <c r="AG203" s="48">
        <v>23517.96</v>
      </c>
      <c r="AH203" s="19">
        <f t="shared" si="10"/>
        <v>747508.86</v>
      </c>
      <c r="AI203" s="48">
        <f t="shared" si="11"/>
        <v>771026.82</v>
      </c>
      <c r="AJ203" s="5"/>
      <c r="AK203" s="67"/>
      <c r="AL203" s="67"/>
      <c r="AM203" s="67"/>
    </row>
    <row r="204" spans="1:39" ht="12" customHeight="1" x14ac:dyDescent="0.2">
      <c r="A204" s="1" t="s">
        <v>375</v>
      </c>
      <c r="C204" s="1" t="s">
        <v>373</v>
      </c>
      <c r="E204" s="48">
        <v>41496</v>
      </c>
      <c r="F204" s="48"/>
      <c r="G204" s="48">
        <v>96624</v>
      </c>
      <c r="H204" s="48"/>
      <c r="I204" s="48">
        <v>88</v>
      </c>
      <c r="J204" s="48"/>
      <c r="K204" s="48">
        <v>0</v>
      </c>
      <c r="L204" s="48"/>
      <c r="M204" s="48">
        <v>400</v>
      </c>
      <c r="N204" s="48"/>
      <c r="O204" s="48">
        <v>5914</v>
      </c>
      <c r="P204" s="48"/>
      <c r="Q204" s="48">
        <v>36</v>
      </c>
      <c r="R204" s="48"/>
      <c r="S204" s="48">
        <v>25000</v>
      </c>
      <c r="T204" s="48"/>
      <c r="U204" s="48">
        <v>0</v>
      </c>
      <c r="V204" s="48"/>
      <c r="W204" s="48">
        <v>0</v>
      </c>
      <c r="X204" s="48"/>
      <c r="Y204" s="48">
        <v>0</v>
      </c>
      <c r="Z204" s="48"/>
      <c r="AA204" s="48">
        <v>0</v>
      </c>
      <c r="AB204" s="48"/>
      <c r="AC204" s="48">
        <v>0</v>
      </c>
      <c r="AD204" s="48"/>
      <c r="AE204" s="48">
        <v>0</v>
      </c>
      <c r="AF204" s="48"/>
      <c r="AG204" s="48">
        <v>0</v>
      </c>
      <c r="AH204" s="19">
        <f t="shared" si="10"/>
        <v>169558</v>
      </c>
      <c r="AI204" s="48">
        <f t="shared" si="11"/>
        <v>169558</v>
      </c>
      <c r="AJ204" s="5"/>
      <c r="AK204" s="67"/>
      <c r="AL204" s="67"/>
      <c r="AM204" s="67"/>
    </row>
    <row r="205" spans="1:39" s="67" customFormat="1" ht="12" customHeight="1" x14ac:dyDescent="0.2">
      <c r="A205" s="1" t="s">
        <v>332</v>
      </c>
      <c r="B205" s="1"/>
      <c r="C205" s="1" t="s">
        <v>226</v>
      </c>
      <c r="D205" s="1"/>
      <c r="E205" s="48">
        <v>9543.99</v>
      </c>
      <c r="F205" s="48"/>
      <c r="G205" s="48">
        <v>0</v>
      </c>
      <c r="H205" s="48"/>
      <c r="I205" s="48">
        <v>13320.7</v>
      </c>
      <c r="J205" s="48"/>
      <c r="K205" s="48">
        <v>0</v>
      </c>
      <c r="L205" s="48"/>
      <c r="M205" s="48">
        <v>555.04999999999995</v>
      </c>
      <c r="N205" s="48"/>
      <c r="O205" s="48">
        <v>1728.73</v>
      </c>
      <c r="P205" s="48"/>
      <c r="Q205" s="48">
        <v>8.18</v>
      </c>
      <c r="R205" s="48"/>
      <c r="S205" s="48">
        <v>3.64</v>
      </c>
      <c r="T205" s="48"/>
      <c r="U205" s="48">
        <v>0</v>
      </c>
      <c r="V205" s="48"/>
      <c r="W205" s="48">
        <v>0</v>
      </c>
      <c r="X205" s="48"/>
      <c r="Y205" s="48">
        <v>0</v>
      </c>
      <c r="Z205" s="48"/>
      <c r="AA205" s="48">
        <v>0</v>
      </c>
      <c r="AB205" s="48"/>
      <c r="AC205" s="48">
        <v>0</v>
      </c>
      <c r="AD205" s="48"/>
      <c r="AE205" s="48">
        <v>0</v>
      </c>
      <c r="AF205" s="48"/>
      <c r="AG205" s="48">
        <v>0</v>
      </c>
      <c r="AH205" s="19">
        <f t="shared" si="10"/>
        <v>25160.29</v>
      </c>
      <c r="AI205" s="48">
        <f t="shared" si="11"/>
        <v>25160.29</v>
      </c>
      <c r="AJ205" s="5"/>
    </row>
    <row r="206" spans="1:39" s="67" customFormat="1" ht="12" customHeight="1" x14ac:dyDescent="0.2">
      <c r="A206" s="1" t="s">
        <v>52</v>
      </c>
      <c r="B206" s="1"/>
      <c r="C206" s="1" t="s">
        <v>320</v>
      </c>
      <c r="D206" s="1"/>
      <c r="E206" s="48">
        <v>63846.44</v>
      </c>
      <c r="F206" s="48"/>
      <c r="G206" s="48">
        <v>325825.68</v>
      </c>
      <c r="H206" s="48"/>
      <c r="I206" s="48">
        <v>21460.99</v>
      </c>
      <c r="J206" s="48"/>
      <c r="K206" s="48">
        <v>0</v>
      </c>
      <c r="L206" s="48"/>
      <c r="M206" s="48">
        <v>0</v>
      </c>
      <c r="N206" s="48"/>
      <c r="O206" s="48">
        <v>12400</v>
      </c>
      <c r="P206" s="48"/>
      <c r="Q206" s="48">
        <v>1636.17</v>
      </c>
      <c r="R206" s="48"/>
      <c r="S206" s="48">
        <v>21927.65</v>
      </c>
      <c r="T206" s="48"/>
      <c r="U206" s="48">
        <v>0</v>
      </c>
      <c r="V206" s="48"/>
      <c r="W206" s="48">
        <v>0</v>
      </c>
      <c r="X206" s="48"/>
      <c r="Y206" s="48">
        <v>0</v>
      </c>
      <c r="Z206" s="48"/>
      <c r="AA206" s="48">
        <v>0</v>
      </c>
      <c r="AB206" s="48"/>
      <c r="AC206" s="48">
        <v>0</v>
      </c>
      <c r="AD206" s="48"/>
      <c r="AE206" s="48">
        <v>0</v>
      </c>
      <c r="AF206" s="48"/>
      <c r="AG206" s="48">
        <v>0</v>
      </c>
      <c r="AH206" s="19">
        <f t="shared" si="10"/>
        <v>447096.93</v>
      </c>
      <c r="AI206" s="48">
        <f t="shared" si="11"/>
        <v>447096.93</v>
      </c>
      <c r="AJ206" s="5"/>
      <c r="AK206" s="4"/>
      <c r="AL206" s="4"/>
      <c r="AM206" s="4"/>
    </row>
    <row r="207" spans="1:39" s="67" customFormat="1" ht="12" customHeight="1" x14ac:dyDescent="0.2">
      <c r="A207" s="1"/>
      <c r="B207" s="1"/>
      <c r="C207" s="1"/>
      <c r="D207" s="1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19"/>
      <c r="AI207" s="48"/>
      <c r="AJ207" s="5"/>
      <c r="AK207" s="4"/>
      <c r="AL207" s="4"/>
      <c r="AM207" s="4"/>
    </row>
    <row r="208" spans="1:39" s="67" customFormat="1" ht="12" customHeight="1" x14ac:dyDescent="0.2">
      <c r="A208" s="1"/>
      <c r="B208" s="1"/>
      <c r="C208" s="1"/>
      <c r="D208" s="1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19"/>
      <c r="AI208" s="88" t="s">
        <v>733</v>
      </c>
      <c r="AJ208" s="5"/>
      <c r="AK208" s="4"/>
      <c r="AL208" s="4"/>
      <c r="AM208" s="4"/>
    </row>
    <row r="209" spans="1:39" s="67" customFormat="1" ht="12" customHeight="1" x14ac:dyDescent="0.2">
      <c r="A209" s="1"/>
      <c r="B209" s="1"/>
      <c r="C209" s="1"/>
      <c r="D209" s="1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19"/>
      <c r="AI209" s="48"/>
      <c r="AJ209" s="5"/>
      <c r="AK209" s="4"/>
      <c r="AL209" s="4"/>
      <c r="AM209" s="4"/>
    </row>
    <row r="210" spans="1:39" s="67" customFormat="1" ht="12" customHeight="1" x14ac:dyDescent="0.2">
      <c r="A210" s="1" t="s">
        <v>337</v>
      </c>
      <c r="B210" s="1"/>
      <c r="C210" s="1" t="s">
        <v>338</v>
      </c>
      <c r="D210" s="1"/>
      <c r="E210" s="68">
        <v>227357</v>
      </c>
      <c r="F210" s="48"/>
      <c r="G210" s="68">
        <v>1660582</v>
      </c>
      <c r="H210" s="68"/>
      <c r="I210" s="68">
        <v>113943</v>
      </c>
      <c r="J210" s="68"/>
      <c r="K210" s="68">
        <v>0</v>
      </c>
      <c r="L210" s="68"/>
      <c r="M210" s="68">
        <v>326511</v>
      </c>
      <c r="N210" s="68"/>
      <c r="O210" s="68">
        <v>483713</v>
      </c>
      <c r="P210" s="68"/>
      <c r="Q210" s="68">
        <v>37732</v>
      </c>
      <c r="R210" s="68"/>
      <c r="S210" s="68">
        <f>1950+45741+52758</f>
        <v>100449</v>
      </c>
      <c r="T210" s="68"/>
      <c r="U210" s="68">
        <v>30375</v>
      </c>
      <c r="V210" s="68"/>
      <c r="W210" s="68">
        <v>0</v>
      </c>
      <c r="X210" s="68"/>
      <c r="Y210" s="68">
        <v>0</v>
      </c>
      <c r="Z210" s="68"/>
      <c r="AA210" s="68">
        <v>7993</v>
      </c>
      <c r="AB210" s="68"/>
      <c r="AC210" s="68">
        <v>346543</v>
      </c>
      <c r="AD210" s="68"/>
      <c r="AE210" s="68">
        <v>0</v>
      </c>
      <c r="AF210" s="68"/>
      <c r="AG210" s="68">
        <v>0</v>
      </c>
      <c r="AH210" s="68">
        <f t="shared" si="10"/>
        <v>3335198</v>
      </c>
      <c r="AI210" s="68">
        <f t="shared" si="11"/>
        <v>3335198</v>
      </c>
      <c r="AJ210" s="5"/>
      <c r="AK210" s="4"/>
      <c r="AL210" s="4"/>
      <c r="AM210" s="4"/>
    </row>
    <row r="211" spans="1:39" ht="12" customHeight="1" x14ac:dyDescent="0.2">
      <c r="A211" s="1" t="s">
        <v>769</v>
      </c>
      <c r="C211" s="1" t="s">
        <v>689</v>
      </c>
      <c r="E211" s="48">
        <v>0</v>
      </c>
      <c r="F211" s="48"/>
      <c r="G211" s="48">
        <v>770131</v>
      </c>
      <c r="H211" s="48"/>
      <c r="I211" s="48">
        <v>63922</v>
      </c>
      <c r="J211" s="48"/>
      <c r="K211" s="48">
        <v>0</v>
      </c>
      <c r="L211" s="48"/>
      <c r="M211" s="48">
        <v>6524</v>
      </c>
      <c r="N211" s="48"/>
      <c r="O211" s="48">
        <v>33550</v>
      </c>
      <c r="P211" s="48"/>
      <c r="Q211" s="48">
        <v>10217</v>
      </c>
      <c r="R211" s="48"/>
      <c r="S211" s="48">
        <v>20675</v>
      </c>
      <c r="T211" s="48"/>
      <c r="U211" s="48">
        <v>0</v>
      </c>
      <c r="V211" s="48"/>
      <c r="W211" s="48">
        <v>0</v>
      </c>
      <c r="X211" s="48"/>
      <c r="Y211" s="48">
        <v>0</v>
      </c>
      <c r="Z211" s="48"/>
      <c r="AA211" s="48">
        <v>0</v>
      </c>
      <c r="AB211" s="48"/>
      <c r="AC211" s="48">
        <v>0</v>
      </c>
      <c r="AD211" s="48"/>
      <c r="AE211" s="48">
        <v>0</v>
      </c>
      <c r="AF211" s="48"/>
      <c r="AG211" s="48">
        <v>0</v>
      </c>
      <c r="AH211" s="19">
        <f t="shared" si="10"/>
        <v>905019</v>
      </c>
      <c r="AI211" s="48">
        <f t="shared" si="11"/>
        <v>905019</v>
      </c>
      <c r="AJ211" s="5"/>
    </row>
    <row r="212" spans="1:39" ht="12" customHeight="1" x14ac:dyDescent="0.2">
      <c r="A212" s="17" t="s">
        <v>470</v>
      </c>
      <c r="B212" s="17"/>
      <c r="C212" s="17" t="s">
        <v>241</v>
      </c>
      <c r="D212" s="17"/>
      <c r="E212" s="48">
        <v>128369</v>
      </c>
      <c r="F212" s="48"/>
      <c r="G212" s="48">
        <v>893045</v>
      </c>
      <c r="H212" s="48"/>
      <c r="I212" s="48">
        <v>88912</v>
      </c>
      <c r="J212" s="48"/>
      <c r="K212" s="48">
        <v>0</v>
      </c>
      <c r="L212" s="48"/>
      <c r="M212" s="48">
        <v>67875</v>
      </c>
      <c r="N212" s="48"/>
      <c r="O212" s="48">
        <v>10048</v>
      </c>
      <c r="P212" s="48"/>
      <c r="Q212" s="48">
        <v>6914</v>
      </c>
      <c r="R212" s="48"/>
      <c r="S212" s="48">
        <v>86562</v>
      </c>
      <c r="T212" s="48"/>
      <c r="U212" s="48">
        <v>0</v>
      </c>
      <c r="V212" s="48"/>
      <c r="W212" s="48">
        <v>0</v>
      </c>
      <c r="X212" s="48"/>
      <c r="Y212" s="48">
        <v>1505</v>
      </c>
      <c r="Z212" s="48"/>
      <c r="AA212" s="48">
        <v>0</v>
      </c>
      <c r="AB212" s="48"/>
      <c r="AC212" s="48">
        <v>0</v>
      </c>
      <c r="AD212" s="48"/>
      <c r="AE212" s="48">
        <v>0</v>
      </c>
      <c r="AF212" s="48"/>
      <c r="AG212" s="48">
        <v>0</v>
      </c>
      <c r="AH212" s="19">
        <f t="shared" si="10"/>
        <v>1283230</v>
      </c>
      <c r="AI212" s="48">
        <f t="shared" si="11"/>
        <v>1283230</v>
      </c>
      <c r="AJ212" s="5"/>
      <c r="AK212" s="67"/>
      <c r="AL212" s="67"/>
      <c r="AM212" s="67"/>
    </row>
    <row r="213" spans="1:39" s="67" customFormat="1" ht="12" customHeight="1" x14ac:dyDescent="0.2">
      <c r="A213" s="1" t="s">
        <v>297</v>
      </c>
      <c r="B213" s="1"/>
      <c r="C213" s="1" t="s">
        <v>293</v>
      </c>
      <c r="D213" s="1"/>
      <c r="E213" s="48">
        <v>2044097</v>
      </c>
      <c r="F213" s="48"/>
      <c r="G213" s="48">
        <v>1551855</v>
      </c>
      <c r="H213" s="48"/>
      <c r="I213" s="48">
        <v>777551</v>
      </c>
      <c r="J213" s="48"/>
      <c r="K213" s="48">
        <v>24155</v>
      </c>
      <c r="L213" s="48"/>
      <c r="M213" s="48">
        <v>394558</v>
      </c>
      <c r="N213" s="48"/>
      <c r="O213" s="48">
        <v>95180</v>
      </c>
      <c r="P213" s="48"/>
      <c r="Q213" s="48">
        <v>5793</v>
      </c>
      <c r="R213" s="48"/>
      <c r="S213" s="48">
        <v>0</v>
      </c>
      <c r="T213" s="48"/>
      <c r="U213" s="48">
        <v>0</v>
      </c>
      <c r="V213" s="48"/>
      <c r="W213" s="48">
        <v>0</v>
      </c>
      <c r="X213" s="48"/>
      <c r="Y213" s="48">
        <v>0</v>
      </c>
      <c r="Z213" s="48"/>
      <c r="AA213" s="48">
        <v>187</v>
      </c>
      <c r="AB213" s="48"/>
      <c r="AC213" s="48">
        <v>0</v>
      </c>
      <c r="AD213" s="48"/>
      <c r="AE213" s="48">
        <v>0</v>
      </c>
      <c r="AF213" s="48"/>
      <c r="AG213" s="48">
        <v>0</v>
      </c>
      <c r="AH213" s="19">
        <f t="shared" si="10"/>
        <v>4893376</v>
      </c>
      <c r="AI213" s="48">
        <f t="shared" si="11"/>
        <v>4893376</v>
      </c>
      <c r="AJ213" s="5"/>
    </row>
    <row r="214" spans="1:39" s="67" customFormat="1" ht="12" customHeight="1" x14ac:dyDescent="0.2">
      <c r="A214" s="1" t="s">
        <v>251</v>
      </c>
      <c r="B214" s="1"/>
      <c r="C214" s="1" t="s">
        <v>624</v>
      </c>
      <c r="D214" s="1"/>
      <c r="E214" s="48">
        <v>160038.79</v>
      </c>
      <c r="F214" s="48"/>
      <c r="G214" s="48">
        <v>193070.43</v>
      </c>
      <c r="H214" s="48"/>
      <c r="I214" s="48">
        <v>45377.75</v>
      </c>
      <c r="J214" s="48"/>
      <c r="K214" s="48">
        <v>1020.19</v>
      </c>
      <c r="L214" s="48"/>
      <c r="M214" s="48">
        <v>47451.01</v>
      </c>
      <c r="N214" s="48"/>
      <c r="O214" s="48">
        <v>56185</v>
      </c>
      <c r="P214" s="48"/>
      <c r="Q214" s="48">
        <v>3415.03</v>
      </c>
      <c r="R214" s="48"/>
      <c r="S214" s="48">
        <v>91133.78</v>
      </c>
      <c r="T214" s="48"/>
      <c r="U214" s="48">
        <v>0</v>
      </c>
      <c r="V214" s="48"/>
      <c r="W214" s="48">
        <v>0</v>
      </c>
      <c r="X214" s="48"/>
      <c r="Y214" s="48">
        <v>0</v>
      </c>
      <c r="Z214" s="48"/>
      <c r="AA214" s="48">
        <v>0</v>
      </c>
      <c r="AB214" s="48"/>
      <c r="AC214" s="48">
        <v>19000</v>
      </c>
      <c r="AD214" s="48"/>
      <c r="AE214" s="48">
        <v>55000</v>
      </c>
      <c r="AF214" s="48"/>
      <c r="AG214" s="48">
        <v>0</v>
      </c>
      <c r="AH214" s="19">
        <f t="shared" si="10"/>
        <v>671691.98</v>
      </c>
      <c r="AI214" s="48">
        <f t="shared" si="11"/>
        <v>671691.98</v>
      </c>
      <c r="AJ214" s="5"/>
      <c r="AK214" s="1"/>
      <c r="AL214" s="1"/>
      <c r="AM214" s="1"/>
    </row>
    <row r="215" spans="1:39" ht="12" customHeight="1" x14ac:dyDescent="0.2">
      <c r="A215" s="1" t="s">
        <v>457</v>
      </c>
      <c r="C215" s="1" t="s">
        <v>192</v>
      </c>
      <c r="E215" s="48">
        <v>67452</v>
      </c>
      <c r="F215" s="48"/>
      <c r="G215" s="48">
        <v>0</v>
      </c>
      <c r="H215" s="48"/>
      <c r="I215" s="48">
        <v>46959</v>
      </c>
      <c r="J215" s="48"/>
      <c r="K215" s="48">
        <v>0</v>
      </c>
      <c r="L215" s="48"/>
      <c r="M215" s="48">
        <v>0</v>
      </c>
      <c r="N215" s="48"/>
      <c r="O215" s="48">
        <f>3078+12399</f>
        <v>15477</v>
      </c>
      <c r="P215" s="48"/>
      <c r="Q215" s="48">
        <v>8570</v>
      </c>
      <c r="R215" s="48"/>
      <c r="S215" s="48">
        <v>2160</v>
      </c>
      <c r="T215" s="48"/>
      <c r="U215" s="48">
        <v>0</v>
      </c>
      <c r="V215" s="48"/>
      <c r="W215" s="48">
        <v>0</v>
      </c>
      <c r="X215" s="48"/>
      <c r="Y215" s="48">
        <v>0</v>
      </c>
      <c r="Z215" s="48"/>
      <c r="AA215" s="48">
        <v>669132</v>
      </c>
      <c r="AB215" s="48"/>
      <c r="AC215" s="48">
        <v>0</v>
      </c>
      <c r="AD215" s="48"/>
      <c r="AE215" s="48">
        <v>32778</v>
      </c>
      <c r="AF215" s="48"/>
      <c r="AG215" s="48">
        <v>0</v>
      </c>
      <c r="AH215" s="19">
        <f t="shared" si="10"/>
        <v>842528</v>
      </c>
      <c r="AI215" s="48">
        <f t="shared" si="11"/>
        <v>842528</v>
      </c>
      <c r="AJ215" s="5"/>
      <c r="AK215" s="67"/>
      <c r="AL215" s="67"/>
      <c r="AM215" s="67"/>
    </row>
    <row r="216" spans="1:39" s="67" customFormat="1" ht="12" customHeight="1" x14ac:dyDescent="0.2">
      <c r="A216" s="1" t="s">
        <v>22</v>
      </c>
      <c r="B216" s="1"/>
      <c r="C216" s="1" t="s">
        <v>265</v>
      </c>
      <c r="D216" s="1"/>
      <c r="E216" s="48">
        <v>255359.35</v>
      </c>
      <c r="F216" s="48"/>
      <c r="G216" s="48">
        <v>248486.06</v>
      </c>
      <c r="H216" s="48"/>
      <c r="I216" s="48">
        <v>285837.18</v>
      </c>
      <c r="J216" s="48"/>
      <c r="K216" s="48">
        <v>0</v>
      </c>
      <c r="L216" s="48"/>
      <c r="M216" s="48">
        <v>11400.01</v>
      </c>
      <c r="N216" s="48"/>
      <c r="O216" s="48">
        <v>83797.42</v>
      </c>
      <c r="P216" s="48"/>
      <c r="Q216" s="48">
        <v>6944.03</v>
      </c>
      <c r="R216" s="48"/>
      <c r="S216" s="48">
        <v>74916.33</v>
      </c>
      <c r="T216" s="48"/>
      <c r="U216" s="48">
        <v>0</v>
      </c>
      <c r="V216" s="48"/>
      <c r="W216" s="48">
        <v>0</v>
      </c>
      <c r="X216" s="48"/>
      <c r="Y216" s="48">
        <v>8364.7999999999993</v>
      </c>
      <c r="Z216" s="48"/>
      <c r="AA216" s="48">
        <v>0</v>
      </c>
      <c r="AB216" s="48"/>
      <c r="AC216" s="48">
        <v>0</v>
      </c>
      <c r="AD216" s="48"/>
      <c r="AE216" s="48">
        <v>0</v>
      </c>
      <c r="AF216" s="48"/>
      <c r="AG216" s="48">
        <v>0</v>
      </c>
      <c r="AH216" s="19">
        <f t="shared" si="10"/>
        <v>975105.18000000017</v>
      </c>
      <c r="AI216" s="48">
        <f t="shared" si="11"/>
        <v>975105.18000000017</v>
      </c>
      <c r="AJ216" s="5"/>
      <c r="AK216" s="1"/>
      <c r="AL216" s="1"/>
      <c r="AM216" s="1"/>
    </row>
    <row r="217" spans="1:39" s="67" customFormat="1" ht="12" customHeight="1" x14ac:dyDescent="0.2">
      <c r="A217" s="1" t="s">
        <v>49</v>
      </c>
      <c r="B217" s="1"/>
      <c r="C217" s="1" t="s">
        <v>306</v>
      </c>
      <c r="D217" s="1"/>
      <c r="E217" s="48">
        <v>18772.75</v>
      </c>
      <c r="F217" s="48"/>
      <c r="G217" s="48">
        <v>0</v>
      </c>
      <c r="H217" s="48"/>
      <c r="I217" s="48">
        <v>33855.68</v>
      </c>
      <c r="J217" s="48"/>
      <c r="K217" s="48">
        <v>0</v>
      </c>
      <c r="L217" s="48"/>
      <c r="M217" s="48">
        <v>0</v>
      </c>
      <c r="N217" s="48"/>
      <c r="O217" s="48">
        <v>3831.21</v>
      </c>
      <c r="P217" s="48"/>
      <c r="Q217" s="48">
        <v>91.64</v>
      </c>
      <c r="R217" s="48"/>
      <c r="S217" s="48">
        <v>2789.96</v>
      </c>
      <c r="T217" s="48"/>
      <c r="U217" s="48">
        <v>0</v>
      </c>
      <c r="V217" s="48"/>
      <c r="W217" s="48">
        <v>0</v>
      </c>
      <c r="X217" s="48"/>
      <c r="Y217" s="48">
        <v>0</v>
      </c>
      <c r="Z217" s="48"/>
      <c r="AA217" s="48">
        <v>0</v>
      </c>
      <c r="AB217" s="48"/>
      <c r="AC217" s="48">
        <v>0</v>
      </c>
      <c r="AD217" s="48"/>
      <c r="AE217" s="48">
        <v>0</v>
      </c>
      <c r="AF217" s="48"/>
      <c r="AG217" s="48">
        <v>0</v>
      </c>
      <c r="AH217" s="19">
        <f t="shared" si="10"/>
        <v>59341.24</v>
      </c>
      <c r="AI217" s="48">
        <f t="shared" si="11"/>
        <v>59341.24</v>
      </c>
      <c r="AJ217" s="5"/>
      <c r="AK217" s="1"/>
      <c r="AL217" s="1"/>
      <c r="AM217" s="1"/>
    </row>
    <row r="218" spans="1:39" ht="12" customHeight="1" x14ac:dyDescent="0.2">
      <c r="A218" s="1" t="s">
        <v>488</v>
      </c>
      <c r="C218" s="1" t="s">
        <v>487</v>
      </c>
      <c r="E218" s="48">
        <v>93244.37</v>
      </c>
      <c r="F218" s="48"/>
      <c r="G218" s="48">
        <v>615401.5</v>
      </c>
      <c r="H218" s="48"/>
      <c r="I218" s="48">
        <v>90221.2</v>
      </c>
      <c r="J218" s="48"/>
      <c r="K218" s="48">
        <v>4304.59</v>
      </c>
      <c r="L218" s="48"/>
      <c r="M218" s="48">
        <v>5590.67</v>
      </c>
      <c r="N218" s="48"/>
      <c r="O218" s="48">
        <v>48016.99</v>
      </c>
      <c r="P218" s="48"/>
      <c r="Q218" s="48">
        <v>7710.99</v>
      </c>
      <c r="R218" s="48"/>
      <c r="S218" s="48">
        <v>20479.740000000002</v>
      </c>
      <c r="T218" s="48"/>
      <c r="U218" s="48">
        <v>0</v>
      </c>
      <c r="V218" s="48"/>
      <c r="W218" s="48">
        <v>0</v>
      </c>
      <c r="X218" s="48"/>
      <c r="Y218" s="48">
        <v>36781</v>
      </c>
      <c r="Z218" s="48"/>
      <c r="AA218" s="48">
        <v>123821.26</v>
      </c>
      <c r="AB218" s="48"/>
      <c r="AC218" s="48">
        <v>0</v>
      </c>
      <c r="AD218" s="48"/>
      <c r="AE218" s="48">
        <v>0</v>
      </c>
      <c r="AF218" s="48"/>
      <c r="AG218" s="48">
        <v>0</v>
      </c>
      <c r="AH218" s="19">
        <f t="shared" si="10"/>
        <v>1045572.3099999999</v>
      </c>
      <c r="AI218" s="48">
        <f t="shared" si="11"/>
        <v>1045572.3099999999</v>
      </c>
      <c r="AJ218" s="5"/>
      <c r="AK218" s="67"/>
      <c r="AL218" s="67"/>
      <c r="AM218" s="67"/>
    </row>
    <row r="219" spans="1:39" ht="12" customHeight="1" x14ac:dyDescent="0.2">
      <c r="A219" s="1" t="s">
        <v>190</v>
      </c>
      <c r="C219" s="1" t="s">
        <v>476</v>
      </c>
      <c r="E219" s="48">
        <v>25092.11</v>
      </c>
      <c r="F219" s="48"/>
      <c r="G219" s="48">
        <v>0</v>
      </c>
      <c r="H219" s="48"/>
      <c r="I219" s="48">
        <v>20609.080000000002</v>
      </c>
      <c r="J219" s="48"/>
      <c r="K219" s="48">
        <v>0</v>
      </c>
      <c r="L219" s="48"/>
      <c r="M219" s="48">
        <v>4514.07</v>
      </c>
      <c r="N219" s="48"/>
      <c r="O219" s="48">
        <v>37.5</v>
      </c>
      <c r="P219" s="48"/>
      <c r="Q219" s="48">
        <v>4.29</v>
      </c>
      <c r="R219" s="48"/>
      <c r="S219" s="48">
        <v>0</v>
      </c>
      <c r="T219" s="48"/>
      <c r="U219" s="48">
        <v>0</v>
      </c>
      <c r="V219" s="48"/>
      <c r="W219" s="48">
        <v>0</v>
      </c>
      <c r="X219" s="48"/>
      <c r="Y219" s="48">
        <v>0</v>
      </c>
      <c r="Z219" s="48"/>
      <c r="AA219" s="48">
        <v>0</v>
      </c>
      <c r="AB219" s="48"/>
      <c r="AC219" s="48">
        <v>0</v>
      </c>
      <c r="AD219" s="48"/>
      <c r="AE219" s="48">
        <v>0</v>
      </c>
      <c r="AF219" s="48"/>
      <c r="AG219" s="48">
        <v>0</v>
      </c>
      <c r="AH219" s="19">
        <f t="shared" si="10"/>
        <v>50257.05</v>
      </c>
      <c r="AI219" s="48">
        <f t="shared" si="11"/>
        <v>50257.05</v>
      </c>
      <c r="AJ219" s="5"/>
      <c r="AK219" s="67"/>
      <c r="AL219" s="67"/>
      <c r="AM219" s="67"/>
    </row>
    <row r="220" spans="1:39" ht="12" customHeight="1" x14ac:dyDescent="0.2">
      <c r="A220" s="1" t="s">
        <v>477</v>
      </c>
      <c r="C220" s="1" t="s">
        <v>476</v>
      </c>
      <c r="E220" s="48">
        <v>87861.68</v>
      </c>
      <c r="F220" s="48"/>
      <c r="G220" s="48">
        <v>245191.7</v>
      </c>
      <c r="H220" s="48"/>
      <c r="I220" s="48">
        <v>64872.56</v>
      </c>
      <c r="J220" s="48"/>
      <c r="K220" s="48">
        <v>0</v>
      </c>
      <c r="L220" s="48"/>
      <c r="M220" s="48">
        <v>22882.51</v>
      </c>
      <c r="N220" s="48"/>
      <c r="O220" s="48">
        <v>1883</v>
      </c>
      <c r="P220" s="48"/>
      <c r="Q220" s="48">
        <v>968.43</v>
      </c>
      <c r="R220" s="48"/>
      <c r="S220" s="48">
        <v>3897</v>
      </c>
      <c r="T220" s="48"/>
      <c r="U220" s="48">
        <v>0</v>
      </c>
      <c r="V220" s="48"/>
      <c r="W220" s="48">
        <v>0</v>
      </c>
      <c r="X220" s="48"/>
      <c r="Y220" s="48">
        <v>0</v>
      </c>
      <c r="Z220" s="48"/>
      <c r="AA220" s="48">
        <v>0</v>
      </c>
      <c r="AB220" s="48"/>
      <c r="AC220" s="48">
        <v>0</v>
      </c>
      <c r="AD220" s="48"/>
      <c r="AE220" s="48">
        <v>115150</v>
      </c>
      <c r="AF220" s="48"/>
      <c r="AG220" s="48">
        <v>0</v>
      </c>
      <c r="AH220" s="19">
        <f t="shared" si="10"/>
        <v>542706.88</v>
      </c>
      <c r="AI220" s="48">
        <f t="shared" si="11"/>
        <v>542706.88</v>
      </c>
      <c r="AJ220" s="17"/>
    </row>
    <row r="221" spans="1:39" s="67" customFormat="1" ht="12" customHeight="1" x14ac:dyDescent="0.2">
      <c r="A221" s="1" t="s">
        <v>354</v>
      </c>
      <c r="B221" s="1"/>
      <c r="C221" s="1" t="s">
        <v>351</v>
      </c>
      <c r="D221" s="1"/>
      <c r="E221" s="48">
        <v>1918609</v>
      </c>
      <c r="F221" s="48"/>
      <c r="G221" s="48">
        <v>0</v>
      </c>
      <c r="H221" s="48"/>
      <c r="I221" s="48">
        <v>271701</v>
      </c>
      <c r="J221" s="48"/>
      <c r="K221" s="48">
        <v>0</v>
      </c>
      <c r="L221" s="48"/>
      <c r="M221" s="48">
        <v>19797</v>
      </c>
      <c r="N221" s="48"/>
      <c r="O221" s="48">
        <v>90026</v>
      </c>
      <c r="P221" s="48"/>
      <c r="Q221" s="48">
        <v>8795</v>
      </c>
      <c r="R221" s="48"/>
      <c r="S221" s="48">
        <v>12432</v>
      </c>
      <c r="T221" s="48"/>
      <c r="U221" s="48">
        <v>0</v>
      </c>
      <c r="V221" s="48"/>
      <c r="W221" s="48">
        <v>0</v>
      </c>
      <c r="X221" s="48"/>
      <c r="Y221" s="48">
        <v>0</v>
      </c>
      <c r="Z221" s="48"/>
      <c r="AA221" s="48">
        <v>0</v>
      </c>
      <c r="AB221" s="48"/>
      <c r="AC221" s="48">
        <v>0</v>
      </c>
      <c r="AD221" s="48"/>
      <c r="AE221" s="48">
        <v>17711</v>
      </c>
      <c r="AF221" s="48"/>
      <c r="AG221" s="48">
        <v>0</v>
      </c>
      <c r="AH221" s="19">
        <f t="shared" si="10"/>
        <v>2339071</v>
      </c>
      <c r="AI221" s="48">
        <f t="shared" si="11"/>
        <v>2339071</v>
      </c>
      <c r="AJ221" s="5"/>
      <c r="AK221" s="1"/>
      <c r="AL221" s="1"/>
      <c r="AM221" s="1"/>
    </row>
    <row r="222" spans="1:39" s="67" customFormat="1" ht="12" customHeight="1" x14ac:dyDescent="0.2">
      <c r="A222" s="1" t="s">
        <v>465</v>
      </c>
      <c r="B222" s="1"/>
      <c r="C222" s="1" t="s">
        <v>464</v>
      </c>
      <c r="D222" s="1"/>
      <c r="E222" s="48">
        <v>10130.01</v>
      </c>
      <c r="F222" s="48"/>
      <c r="G222" s="48">
        <v>0</v>
      </c>
      <c r="H222" s="48"/>
      <c r="I222" s="48">
        <v>7207.26</v>
      </c>
      <c r="J222" s="48"/>
      <c r="K222" s="48">
        <v>0</v>
      </c>
      <c r="L222" s="48"/>
      <c r="M222" s="48">
        <v>0</v>
      </c>
      <c r="N222" s="48"/>
      <c r="O222" s="48">
        <v>0</v>
      </c>
      <c r="P222" s="48"/>
      <c r="Q222" s="48">
        <v>0</v>
      </c>
      <c r="R222" s="48"/>
      <c r="S222" s="48">
        <v>1991.06</v>
      </c>
      <c r="T222" s="48"/>
      <c r="U222" s="48">
        <v>0</v>
      </c>
      <c r="V222" s="48"/>
      <c r="W222" s="48">
        <v>0</v>
      </c>
      <c r="X222" s="48"/>
      <c r="Y222" s="48">
        <v>0</v>
      </c>
      <c r="Z222" s="48"/>
      <c r="AA222" s="48">
        <v>3600</v>
      </c>
      <c r="AB222" s="48"/>
      <c r="AC222" s="48">
        <v>0</v>
      </c>
      <c r="AD222" s="48"/>
      <c r="AE222" s="48">
        <v>4843</v>
      </c>
      <c r="AF222" s="48"/>
      <c r="AG222" s="48">
        <v>0</v>
      </c>
      <c r="AH222" s="19">
        <f t="shared" si="10"/>
        <v>27771.33</v>
      </c>
      <c r="AI222" s="48">
        <f t="shared" si="11"/>
        <v>27771.33</v>
      </c>
      <c r="AJ222" s="5"/>
      <c r="AK222" s="1"/>
      <c r="AL222" s="1"/>
      <c r="AM222" s="1"/>
    </row>
    <row r="223" spans="1:39" s="14" customFormat="1" ht="12" customHeight="1" x14ac:dyDescent="0.2">
      <c r="A223" s="1" t="s">
        <v>734</v>
      </c>
      <c r="B223" s="1"/>
      <c r="C223" s="1" t="s">
        <v>382</v>
      </c>
      <c r="D223" s="1"/>
      <c r="E223" s="48">
        <v>0</v>
      </c>
      <c r="F223" s="48"/>
      <c r="G223" s="48">
        <v>2616</v>
      </c>
      <c r="H223" s="48"/>
      <c r="I223" s="48">
        <v>20700</v>
      </c>
      <c r="J223" s="48"/>
      <c r="K223" s="48">
        <v>0</v>
      </c>
      <c r="L223" s="48"/>
      <c r="M223" s="48">
        <v>8215</v>
      </c>
      <c r="N223" s="48"/>
      <c r="O223" s="48">
        <v>126</v>
      </c>
      <c r="P223" s="48"/>
      <c r="Q223" s="48">
        <v>1051</v>
      </c>
      <c r="R223" s="48"/>
      <c r="S223" s="48">
        <v>3397</v>
      </c>
      <c r="T223" s="48"/>
      <c r="U223" s="48">
        <v>0</v>
      </c>
      <c r="V223" s="48"/>
      <c r="W223" s="48">
        <v>0</v>
      </c>
      <c r="X223" s="48"/>
      <c r="Y223" s="48">
        <v>0</v>
      </c>
      <c r="Z223" s="48"/>
      <c r="AA223" s="48">
        <v>0</v>
      </c>
      <c r="AB223" s="48"/>
      <c r="AC223" s="48">
        <v>0</v>
      </c>
      <c r="AD223" s="48"/>
      <c r="AE223" s="48">
        <v>0</v>
      </c>
      <c r="AF223" s="48"/>
      <c r="AG223" s="48">
        <v>0</v>
      </c>
      <c r="AH223" s="19">
        <f t="shared" si="10"/>
        <v>36105</v>
      </c>
      <c r="AI223" s="48">
        <f t="shared" si="11"/>
        <v>36105</v>
      </c>
      <c r="AJ223" s="5"/>
      <c r="AK223" s="4"/>
      <c r="AL223" s="4"/>
      <c r="AM223" s="4"/>
    </row>
    <row r="224" spans="1:39" ht="12" customHeight="1" x14ac:dyDescent="0.2">
      <c r="A224" s="1" t="s">
        <v>47</v>
      </c>
      <c r="C224" s="1" t="s">
        <v>293</v>
      </c>
      <c r="E224" s="48">
        <v>161223.98000000001</v>
      </c>
      <c r="F224" s="48"/>
      <c r="G224" s="48">
        <v>2581093.2400000002</v>
      </c>
      <c r="H224" s="48"/>
      <c r="I224" s="48">
        <v>18075.23</v>
      </c>
      <c r="J224" s="48"/>
      <c r="K224" s="48">
        <v>0</v>
      </c>
      <c r="L224" s="48"/>
      <c r="M224" s="48">
        <v>0</v>
      </c>
      <c r="N224" s="48"/>
      <c r="O224" s="48">
        <v>165718.65</v>
      </c>
      <c r="P224" s="48"/>
      <c r="Q224" s="48">
        <v>3960.88</v>
      </c>
      <c r="R224" s="48"/>
      <c r="S224" s="48">
        <v>130674.93</v>
      </c>
      <c r="T224" s="48"/>
      <c r="U224" s="48">
        <v>0</v>
      </c>
      <c r="V224" s="48"/>
      <c r="W224" s="48">
        <v>0</v>
      </c>
      <c r="X224" s="48"/>
      <c r="Y224" s="48">
        <v>0</v>
      </c>
      <c r="Z224" s="48"/>
      <c r="AA224" s="48">
        <v>0</v>
      </c>
      <c r="AB224" s="48"/>
      <c r="AC224" s="48">
        <v>534115.5</v>
      </c>
      <c r="AD224" s="48"/>
      <c r="AE224" s="48">
        <v>0</v>
      </c>
      <c r="AF224" s="48"/>
      <c r="AG224" s="48">
        <v>0</v>
      </c>
      <c r="AH224" s="19">
        <f t="shared" si="10"/>
        <v>3594862.41</v>
      </c>
      <c r="AI224" s="48">
        <f t="shared" si="11"/>
        <v>3594862.41</v>
      </c>
      <c r="AJ224" s="5"/>
      <c r="AK224" s="4"/>
      <c r="AL224" s="4"/>
      <c r="AM224" s="4"/>
    </row>
    <row r="225" spans="1:39" s="67" customFormat="1" ht="12" customHeight="1" x14ac:dyDescent="0.2">
      <c r="A225" s="1" t="s">
        <v>143</v>
      </c>
      <c r="B225" s="1"/>
      <c r="C225" s="1" t="s">
        <v>823</v>
      </c>
      <c r="D225" s="1"/>
      <c r="E225" s="48">
        <v>55245.49</v>
      </c>
      <c r="F225" s="48"/>
      <c r="G225" s="48">
        <v>0</v>
      </c>
      <c r="H225" s="48"/>
      <c r="I225" s="48">
        <v>15817.29</v>
      </c>
      <c r="J225" s="48"/>
      <c r="K225" s="48">
        <v>0</v>
      </c>
      <c r="L225" s="48"/>
      <c r="M225" s="48">
        <v>550</v>
      </c>
      <c r="N225" s="48"/>
      <c r="O225" s="48">
        <v>153.19999999999999</v>
      </c>
      <c r="P225" s="48"/>
      <c r="Q225" s="48">
        <v>180.16</v>
      </c>
      <c r="R225" s="48"/>
      <c r="S225" s="48">
        <v>217.89</v>
      </c>
      <c r="T225" s="48"/>
      <c r="U225" s="48">
        <v>0</v>
      </c>
      <c r="V225" s="48"/>
      <c r="W225" s="48">
        <v>0</v>
      </c>
      <c r="X225" s="48"/>
      <c r="Y225" s="48">
        <v>0</v>
      </c>
      <c r="Z225" s="48"/>
      <c r="AA225" s="48">
        <v>0</v>
      </c>
      <c r="AB225" s="48"/>
      <c r="AC225" s="48">
        <v>0</v>
      </c>
      <c r="AD225" s="48"/>
      <c r="AE225" s="48">
        <v>950</v>
      </c>
      <c r="AF225" s="48"/>
      <c r="AG225" s="48">
        <v>0</v>
      </c>
      <c r="AH225" s="19">
        <f t="shared" si="10"/>
        <v>73114.03</v>
      </c>
      <c r="AI225" s="48">
        <f t="shared" si="11"/>
        <v>73114.03</v>
      </c>
      <c r="AJ225" s="5"/>
    </row>
    <row r="226" spans="1:39" ht="12" customHeight="1" x14ac:dyDescent="0.2">
      <c r="A226" s="1" t="s">
        <v>10</v>
      </c>
      <c r="C226" s="1" t="s">
        <v>253</v>
      </c>
      <c r="E226" s="48">
        <v>70281.03</v>
      </c>
      <c r="F226" s="48"/>
      <c r="G226" s="48">
        <v>0</v>
      </c>
      <c r="H226" s="48"/>
      <c r="I226" s="48">
        <v>74559.83</v>
      </c>
      <c r="J226" s="48"/>
      <c r="K226" s="48">
        <v>0</v>
      </c>
      <c r="L226" s="48"/>
      <c r="M226" s="48">
        <v>40970.699999999997</v>
      </c>
      <c r="N226" s="48"/>
      <c r="O226" s="48">
        <v>21702.04</v>
      </c>
      <c r="P226" s="48"/>
      <c r="Q226" s="48">
        <v>224.35</v>
      </c>
      <c r="R226" s="48"/>
      <c r="S226" s="48">
        <v>10207.719999999999</v>
      </c>
      <c r="T226" s="48"/>
      <c r="U226" s="48">
        <v>0</v>
      </c>
      <c r="V226" s="48"/>
      <c r="W226" s="48">
        <v>0</v>
      </c>
      <c r="X226" s="48"/>
      <c r="Y226" s="48">
        <v>0</v>
      </c>
      <c r="Z226" s="48"/>
      <c r="AA226" s="48">
        <v>1483.81</v>
      </c>
      <c r="AB226" s="48"/>
      <c r="AC226" s="48">
        <v>0</v>
      </c>
      <c r="AD226" s="48"/>
      <c r="AE226" s="48">
        <v>0</v>
      </c>
      <c r="AF226" s="48"/>
      <c r="AG226" s="48">
        <v>37975.050000000003</v>
      </c>
      <c r="AH226" s="19">
        <f t="shared" si="10"/>
        <v>219429.48</v>
      </c>
      <c r="AI226" s="48">
        <f t="shared" si="11"/>
        <v>257404.53000000003</v>
      </c>
      <c r="AJ226" s="5"/>
      <c r="AK226" s="67"/>
      <c r="AL226" s="67"/>
      <c r="AM226" s="67"/>
    </row>
    <row r="227" spans="1:39" s="6" customFormat="1" ht="12" customHeight="1" x14ac:dyDescent="0.2">
      <c r="A227" s="1" t="s">
        <v>524</v>
      </c>
      <c r="B227" s="1"/>
      <c r="C227" s="1" t="s">
        <v>521</v>
      </c>
      <c r="D227" s="1"/>
      <c r="E227" s="48">
        <v>80520</v>
      </c>
      <c r="F227" s="48"/>
      <c r="G227" s="48">
        <v>0</v>
      </c>
      <c r="H227" s="48"/>
      <c r="I227" s="48">
        <v>20123</v>
      </c>
      <c r="J227" s="48"/>
      <c r="K227" s="48">
        <v>6746</v>
      </c>
      <c r="L227" s="48"/>
      <c r="M227" s="48">
        <v>64510</v>
      </c>
      <c r="N227" s="48"/>
      <c r="O227" s="48">
        <v>1956</v>
      </c>
      <c r="P227" s="48"/>
      <c r="Q227" s="48">
        <v>912</v>
      </c>
      <c r="R227" s="48"/>
      <c r="S227" s="48">
        <v>27470</v>
      </c>
      <c r="T227" s="48"/>
      <c r="U227" s="48">
        <v>0</v>
      </c>
      <c r="V227" s="48"/>
      <c r="W227" s="48">
        <v>0</v>
      </c>
      <c r="X227" s="48"/>
      <c r="Y227" s="48">
        <v>0</v>
      </c>
      <c r="Z227" s="48"/>
      <c r="AA227" s="48">
        <v>167050</v>
      </c>
      <c r="AB227" s="48"/>
      <c r="AC227" s="48">
        <v>0</v>
      </c>
      <c r="AD227" s="48"/>
      <c r="AE227" s="48">
        <v>0</v>
      </c>
      <c r="AF227" s="48"/>
      <c r="AG227" s="48">
        <v>0</v>
      </c>
      <c r="AH227" s="19">
        <f t="shared" si="10"/>
        <v>369287</v>
      </c>
      <c r="AI227" s="48">
        <f t="shared" si="11"/>
        <v>369287</v>
      </c>
      <c r="AJ227" s="5"/>
      <c r="AK227" s="67"/>
      <c r="AL227" s="67"/>
      <c r="AM227" s="67"/>
    </row>
    <row r="228" spans="1:39" s="67" customFormat="1" ht="12" customHeight="1" x14ac:dyDescent="0.2">
      <c r="A228" s="1" t="s">
        <v>355</v>
      </c>
      <c r="B228" s="1"/>
      <c r="C228" s="1" t="s">
        <v>351</v>
      </c>
      <c r="D228" s="1"/>
      <c r="E228" s="48">
        <v>864856</v>
      </c>
      <c r="F228" s="48"/>
      <c r="G228" s="48">
        <v>0</v>
      </c>
      <c r="H228" s="48"/>
      <c r="I228" s="48">
        <v>142390</v>
      </c>
      <c r="J228" s="48"/>
      <c r="K228" s="48">
        <v>0</v>
      </c>
      <c r="L228" s="48"/>
      <c r="M228" s="48">
        <v>744460</v>
      </c>
      <c r="N228" s="48"/>
      <c r="O228" s="48">
        <v>109985</v>
      </c>
      <c r="P228" s="48"/>
      <c r="Q228" s="48">
        <v>0</v>
      </c>
      <c r="R228" s="48"/>
      <c r="S228" s="48">
        <v>81106</v>
      </c>
      <c r="T228" s="48"/>
      <c r="U228" s="48">
        <v>0</v>
      </c>
      <c r="V228" s="48"/>
      <c r="W228" s="48">
        <v>0</v>
      </c>
      <c r="X228" s="48"/>
      <c r="Y228" s="48">
        <v>1500</v>
      </c>
      <c r="Z228" s="48"/>
      <c r="AA228" s="48">
        <v>680000</v>
      </c>
      <c r="AB228" s="48"/>
      <c r="AC228" s="48">
        <v>0</v>
      </c>
      <c r="AD228" s="48"/>
      <c r="AE228" s="48">
        <v>0</v>
      </c>
      <c r="AF228" s="48"/>
      <c r="AG228" s="48">
        <v>0</v>
      </c>
      <c r="AH228" s="19">
        <f t="shared" si="10"/>
        <v>2624297</v>
      </c>
      <c r="AI228" s="48">
        <f t="shared" si="11"/>
        <v>2624297</v>
      </c>
      <c r="AJ228" s="5"/>
      <c r="AK228" s="5"/>
      <c r="AL228" s="5"/>
      <c r="AM228" s="5"/>
    </row>
    <row r="229" spans="1:39" ht="12" customHeight="1" x14ac:dyDescent="0.2">
      <c r="A229" s="1" t="s">
        <v>308</v>
      </c>
      <c r="C229" s="1" t="s">
        <v>306</v>
      </c>
      <c r="E229" s="48">
        <v>11043.92</v>
      </c>
      <c r="F229" s="48"/>
      <c r="G229" s="48">
        <v>0</v>
      </c>
      <c r="H229" s="48"/>
      <c r="I229" s="48">
        <v>14998.42</v>
      </c>
      <c r="J229" s="48"/>
      <c r="K229" s="48">
        <v>0</v>
      </c>
      <c r="L229" s="48"/>
      <c r="M229" s="48">
        <v>0</v>
      </c>
      <c r="N229" s="48"/>
      <c r="O229" s="48">
        <v>0</v>
      </c>
      <c r="P229" s="48"/>
      <c r="Q229" s="48">
        <v>45.7</v>
      </c>
      <c r="R229" s="48"/>
      <c r="S229" s="48">
        <v>0</v>
      </c>
      <c r="T229" s="48"/>
      <c r="U229" s="48">
        <v>0</v>
      </c>
      <c r="V229" s="48"/>
      <c r="W229" s="48">
        <v>0</v>
      </c>
      <c r="X229" s="48"/>
      <c r="Y229" s="48">
        <v>0</v>
      </c>
      <c r="Z229" s="48"/>
      <c r="AA229" s="48">
        <v>0</v>
      </c>
      <c r="AB229" s="48"/>
      <c r="AC229" s="48">
        <v>0</v>
      </c>
      <c r="AD229" s="48"/>
      <c r="AE229" s="48">
        <v>0</v>
      </c>
      <c r="AF229" s="48"/>
      <c r="AG229" s="48">
        <v>0</v>
      </c>
      <c r="AH229" s="19">
        <f t="shared" si="10"/>
        <v>26088.04</v>
      </c>
      <c r="AI229" s="48">
        <f t="shared" si="11"/>
        <v>26088.04</v>
      </c>
      <c r="AJ229" s="5"/>
      <c r="AK229" s="67"/>
      <c r="AL229" s="67"/>
      <c r="AM229" s="67"/>
    </row>
    <row r="230" spans="1:39" ht="12" customHeight="1" x14ac:dyDescent="0.2">
      <c r="A230" s="1" t="s">
        <v>418</v>
      </c>
      <c r="C230" s="1" t="s">
        <v>419</v>
      </c>
      <c r="E230" s="48">
        <v>215823</v>
      </c>
      <c r="F230" s="48"/>
      <c r="G230" s="48">
        <v>796711</v>
      </c>
      <c r="H230" s="48"/>
      <c r="I230" s="48">
        <v>127993</v>
      </c>
      <c r="J230" s="48"/>
      <c r="K230" s="48">
        <v>334</v>
      </c>
      <c r="L230" s="48"/>
      <c r="M230" s="48">
        <v>351114</v>
      </c>
      <c r="N230" s="48"/>
      <c r="O230" s="48">
        <v>0</v>
      </c>
      <c r="P230" s="48"/>
      <c r="Q230" s="48">
        <v>26558</v>
      </c>
      <c r="R230" s="48"/>
      <c r="S230" s="48">
        <v>76829</v>
      </c>
      <c r="T230" s="48"/>
      <c r="U230" s="48">
        <v>0</v>
      </c>
      <c r="V230" s="48"/>
      <c r="W230" s="48">
        <v>0</v>
      </c>
      <c r="X230" s="48"/>
      <c r="Y230" s="48">
        <v>0</v>
      </c>
      <c r="Z230" s="48"/>
      <c r="AA230" s="48">
        <v>115739</v>
      </c>
      <c r="AB230" s="48"/>
      <c r="AC230" s="48">
        <v>0</v>
      </c>
      <c r="AD230" s="48"/>
      <c r="AE230" s="48">
        <v>0</v>
      </c>
      <c r="AF230" s="48"/>
      <c r="AG230" s="48">
        <v>0</v>
      </c>
      <c r="AH230" s="19">
        <f t="shared" si="10"/>
        <v>1711101</v>
      </c>
      <c r="AI230" s="48">
        <f t="shared" si="11"/>
        <v>1711101</v>
      </c>
      <c r="AJ230" s="5"/>
      <c r="AK230" s="87"/>
      <c r="AL230" s="87"/>
      <c r="AM230" s="87"/>
    </row>
    <row r="231" spans="1:39" s="67" customFormat="1" ht="12" customHeight="1" x14ac:dyDescent="0.2">
      <c r="A231" s="1" t="s">
        <v>237</v>
      </c>
      <c r="B231" s="1"/>
      <c r="C231" s="1" t="s">
        <v>558</v>
      </c>
      <c r="D231" s="1"/>
      <c r="E231" s="48">
        <v>29574.68</v>
      </c>
      <c r="F231" s="48"/>
      <c r="G231" s="48">
        <v>956.2</v>
      </c>
      <c r="H231" s="48"/>
      <c r="I231" s="48">
        <v>58899.82</v>
      </c>
      <c r="J231" s="48"/>
      <c r="K231" s="48">
        <v>6445.59</v>
      </c>
      <c r="L231" s="48"/>
      <c r="M231" s="48">
        <v>0</v>
      </c>
      <c r="N231" s="48"/>
      <c r="O231" s="48">
        <v>10173.219999999999</v>
      </c>
      <c r="P231" s="48"/>
      <c r="Q231" s="48">
        <v>8800.9500000000007</v>
      </c>
      <c r="R231" s="48"/>
      <c r="S231" s="48">
        <v>38939.300000000003</v>
      </c>
      <c r="T231" s="48"/>
      <c r="U231" s="48">
        <v>0</v>
      </c>
      <c r="V231" s="48"/>
      <c r="W231" s="48">
        <v>0</v>
      </c>
      <c r="X231" s="48"/>
      <c r="Y231" s="48">
        <v>0</v>
      </c>
      <c r="Z231" s="48"/>
      <c r="AA231" s="48">
        <v>142316.20000000001</v>
      </c>
      <c r="AB231" s="48"/>
      <c r="AC231" s="48">
        <v>0</v>
      </c>
      <c r="AD231" s="48"/>
      <c r="AE231" s="48">
        <v>287.12</v>
      </c>
      <c r="AF231" s="48"/>
      <c r="AG231" s="48">
        <v>0</v>
      </c>
      <c r="AH231" s="19">
        <f t="shared" si="10"/>
        <v>296393.08</v>
      </c>
      <c r="AI231" s="48">
        <f t="shared" si="11"/>
        <v>296393.08</v>
      </c>
      <c r="AJ231" s="8"/>
      <c r="AK231" s="15"/>
      <c r="AL231" s="15"/>
      <c r="AM231" s="15"/>
    </row>
    <row r="232" spans="1:39" s="6" customFormat="1" ht="12" customHeight="1" x14ac:dyDescent="0.2">
      <c r="A232" s="1" t="s">
        <v>400</v>
      </c>
      <c r="B232" s="1"/>
      <c r="C232" s="1" t="s">
        <v>399</v>
      </c>
      <c r="D232" s="1"/>
      <c r="E232" s="48">
        <v>64158</v>
      </c>
      <c r="F232" s="48"/>
      <c r="G232" s="48">
        <v>290075</v>
      </c>
      <c r="H232" s="48"/>
      <c r="I232" s="48">
        <f>47703+6813</f>
        <v>54516</v>
      </c>
      <c r="J232" s="48"/>
      <c r="K232" s="48">
        <v>0</v>
      </c>
      <c r="L232" s="48"/>
      <c r="M232" s="48">
        <v>23659</v>
      </c>
      <c r="N232" s="48"/>
      <c r="O232" s="48">
        <f>935+16323</f>
        <v>17258</v>
      </c>
      <c r="P232" s="48"/>
      <c r="Q232" s="48">
        <v>95</v>
      </c>
      <c r="R232" s="48"/>
      <c r="S232" s="48">
        <v>2595</v>
      </c>
      <c r="T232" s="48"/>
      <c r="U232" s="48">
        <v>0</v>
      </c>
      <c r="V232" s="48"/>
      <c r="W232" s="48">
        <v>0</v>
      </c>
      <c r="X232" s="48"/>
      <c r="Y232" s="48">
        <v>0</v>
      </c>
      <c r="Z232" s="48"/>
      <c r="AA232" s="48">
        <v>0</v>
      </c>
      <c r="AB232" s="48"/>
      <c r="AC232" s="48">
        <v>0</v>
      </c>
      <c r="AD232" s="48"/>
      <c r="AE232" s="48">
        <v>0</v>
      </c>
      <c r="AF232" s="48"/>
      <c r="AG232" s="48">
        <v>0</v>
      </c>
      <c r="AH232" s="19">
        <f t="shared" si="10"/>
        <v>452356</v>
      </c>
      <c r="AI232" s="48">
        <f t="shared" si="11"/>
        <v>452356</v>
      </c>
      <c r="AJ232" s="5"/>
      <c r="AK232" s="67"/>
      <c r="AL232" s="67"/>
      <c r="AM232" s="67"/>
    </row>
    <row r="233" spans="1:39" s="6" customFormat="1" ht="12" customHeight="1" x14ac:dyDescent="0.2">
      <c r="A233" s="1" t="s">
        <v>407</v>
      </c>
      <c r="B233" s="1"/>
      <c r="C233" s="1" t="s">
        <v>408</v>
      </c>
      <c r="D233" s="1"/>
      <c r="E233" s="48">
        <v>412684</v>
      </c>
      <c r="F233" s="48"/>
      <c r="G233" s="48">
        <v>3175619</v>
      </c>
      <c r="H233" s="48"/>
      <c r="I233" s="48">
        <v>208962</v>
      </c>
      <c r="J233" s="48"/>
      <c r="K233" s="48">
        <v>0</v>
      </c>
      <c r="L233" s="48"/>
      <c r="M233" s="48">
        <v>0</v>
      </c>
      <c r="N233" s="48"/>
      <c r="O233" s="48">
        <v>186221</v>
      </c>
      <c r="P233" s="48"/>
      <c r="Q233" s="48">
        <v>11146</v>
      </c>
      <c r="R233" s="48"/>
      <c r="S233" s="48">
        <v>135047</v>
      </c>
      <c r="T233" s="48"/>
      <c r="U233" s="48">
        <v>0</v>
      </c>
      <c r="V233" s="48"/>
      <c r="W233" s="48">
        <v>0</v>
      </c>
      <c r="X233" s="48"/>
      <c r="Y233" s="48">
        <v>0</v>
      </c>
      <c r="Z233" s="48"/>
      <c r="AA233" s="48">
        <v>84786</v>
      </c>
      <c r="AB233" s="48"/>
      <c r="AC233" s="48">
        <v>0</v>
      </c>
      <c r="AD233" s="48"/>
      <c r="AE233" s="48">
        <v>0</v>
      </c>
      <c r="AF233" s="48"/>
      <c r="AG233" s="48">
        <v>0</v>
      </c>
      <c r="AH233" s="19">
        <f t="shared" si="10"/>
        <v>4214465</v>
      </c>
      <c r="AI233" s="48">
        <f t="shared" si="11"/>
        <v>4214465</v>
      </c>
      <c r="AJ233" s="5"/>
      <c r="AK233" s="67"/>
      <c r="AL233" s="67"/>
      <c r="AM233" s="67"/>
    </row>
    <row r="234" spans="1:39" s="6" customFormat="1" ht="12" customHeight="1" x14ac:dyDescent="0.2">
      <c r="A234" s="1" t="s">
        <v>409</v>
      </c>
      <c r="B234" s="1"/>
      <c r="C234" s="1" t="s">
        <v>408</v>
      </c>
      <c r="D234" s="1"/>
      <c r="E234" s="48">
        <v>2777</v>
      </c>
      <c r="F234" s="48"/>
      <c r="G234" s="48">
        <v>0</v>
      </c>
      <c r="H234" s="48"/>
      <c r="I234" s="48">
        <v>10785</v>
      </c>
      <c r="J234" s="48"/>
      <c r="K234" s="48">
        <v>0</v>
      </c>
      <c r="L234" s="48"/>
      <c r="M234" s="48">
        <v>0</v>
      </c>
      <c r="N234" s="48"/>
      <c r="O234" s="48">
        <v>0</v>
      </c>
      <c r="P234" s="48"/>
      <c r="Q234" s="48">
        <v>0</v>
      </c>
      <c r="R234" s="48"/>
      <c r="S234" s="48">
        <v>477</v>
      </c>
      <c r="T234" s="48"/>
      <c r="U234" s="48">
        <v>0</v>
      </c>
      <c r="V234" s="48"/>
      <c r="W234" s="48">
        <v>0</v>
      </c>
      <c r="X234" s="48"/>
      <c r="Y234" s="48">
        <v>0</v>
      </c>
      <c r="Z234" s="48"/>
      <c r="AA234" s="48">
        <v>0</v>
      </c>
      <c r="AB234" s="48"/>
      <c r="AC234" s="48">
        <v>0</v>
      </c>
      <c r="AD234" s="48"/>
      <c r="AE234" s="48">
        <v>0</v>
      </c>
      <c r="AF234" s="48"/>
      <c r="AG234" s="48">
        <v>0</v>
      </c>
      <c r="AH234" s="19">
        <f t="shared" si="10"/>
        <v>14039</v>
      </c>
      <c r="AI234" s="48">
        <f t="shared" si="11"/>
        <v>14039</v>
      </c>
      <c r="AJ234" s="5"/>
      <c r="AK234" s="67"/>
      <c r="AL234" s="67"/>
      <c r="AM234" s="67"/>
    </row>
    <row r="235" spans="1:39" s="6" customFormat="1" ht="12" customHeight="1" x14ac:dyDescent="0.2">
      <c r="A235" s="1" t="s">
        <v>186</v>
      </c>
      <c r="B235" s="1"/>
      <c r="C235" s="1" t="s">
        <v>472</v>
      </c>
      <c r="D235" s="1"/>
      <c r="E235" s="48">
        <v>28971.08</v>
      </c>
      <c r="F235" s="48"/>
      <c r="G235" s="48">
        <v>0</v>
      </c>
      <c r="H235" s="48"/>
      <c r="I235" s="48">
        <v>19476.36</v>
      </c>
      <c r="J235" s="48"/>
      <c r="K235" s="48">
        <v>0</v>
      </c>
      <c r="L235" s="48"/>
      <c r="M235" s="48">
        <v>0</v>
      </c>
      <c r="N235" s="48"/>
      <c r="O235" s="48">
        <v>45473.05</v>
      </c>
      <c r="P235" s="48"/>
      <c r="Q235" s="48">
        <v>144.78</v>
      </c>
      <c r="R235" s="48"/>
      <c r="S235" s="48">
        <v>7952.36</v>
      </c>
      <c r="T235" s="48"/>
      <c r="U235" s="48">
        <v>0</v>
      </c>
      <c r="V235" s="48"/>
      <c r="W235" s="48">
        <v>0</v>
      </c>
      <c r="X235" s="48"/>
      <c r="Y235" s="48">
        <v>0</v>
      </c>
      <c r="Z235" s="48"/>
      <c r="AA235" s="48">
        <v>0</v>
      </c>
      <c r="AB235" s="48"/>
      <c r="AC235" s="48">
        <v>0</v>
      </c>
      <c r="AD235" s="48"/>
      <c r="AE235" s="48">
        <v>0</v>
      </c>
      <c r="AF235" s="48"/>
      <c r="AG235" s="48">
        <v>0</v>
      </c>
      <c r="AH235" s="19">
        <f t="shared" si="10"/>
        <v>102017.63</v>
      </c>
      <c r="AI235" s="48">
        <f t="shared" si="11"/>
        <v>102017.63</v>
      </c>
      <c r="AJ235" s="5"/>
      <c r="AK235" s="1"/>
      <c r="AL235" s="1"/>
      <c r="AM235" s="1"/>
    </row>
    <row r="236" spans="1:39" s="67" customFormat="1" ht="12" customHeight="1" x14ac:dyDescent="0.2">
      <c r="A236" s="1" t="s">
        <v>442</v>
      </c>
      <c r="B236" s="1"/>
      <c r="C236" s="1" t="s">
        <v>441</v>
      </c>
      <c r="D236" s="1"/>
      <c r="E236" s="48">
        <v>2820</v>
      </c>
      <c r="F236" s="48"/>
      <c r="G236" s="48">
        <v>0</v>
      </c>
      <c r="H236" s="48"/>
      <c r="I236" s="48">
        <v>5248</v>
      </c>
      <c r="J236" s="48"/>
      <c r="K236" s="48">
        <v>0</v>
      </c>
      <c r="L236" s="48"/>
      <c r="M236" s="48">
        <v>0</v>
      </c>
      <c r="N236" s="48"/>
      <c r="O236" s="48">
        <v>0</v>
      </c>
      <c r="P236" s="48"/>
      <c r="Q236" s="48">
        <v>2</v>
      </c>
      <c r="R236" s="48"/>
      <c r="S236" s="48">
        <v>20</v>
      </c>
      <c r="T236" s="48"/>
      <c r="U236" s="48">
        <v>0</v>
      </c>
      <c r="V236" s="48"/>
      <c r="W236" s="48">
        <v>0</v>
      </c>
      <c r="X236" s="48"/>
      <c r="Y236" s="48">
        <v>0</v>
      </c>
      <c r="Z236" s="48"/>
      <c r="AA236" s="48">
        <v>0</v>
      </c>
      <c r="AB236" s="48"/>
      <c r="AC236" s="48">
        <v>0</v>
      </c>
      <c r="AD236" s="48"/>
      <c r="AE236" s="48">
        <v>0</v>
      </c>
      <c r="AF236" s="48"/>
      <c r="AG236" s="48">
        <v>0</v>
      </c>
      <c r="AH236" s="19">
        <f t="shared" si="10"/>
        <v>8090</v>
      </c>
      <c r="AI236" s="48">
        <f t="shared" si="11"/>
        <v>8090</v>
      </c>
      <c r="AJ236" s="5"/>
    </row>
    <row r="237" spans="1:39" s="67" customFormat="1" ht="12" customHeight="1" x14ac:dyDescent="0.2">
      <c r="A237" s="1" t="s">
        <v>138</v>
      </c>
      <c r="B237" s="1"/>
      <c r="C237" s="1" t="s">
        <v>430</v>
      </c>
      <c r="D237" s="1"/>
      <c r="E237" s="48">
        <v>27376.12</v>
      </c>
      <c r="F237" s="48"/>
      <c r="G237" s="48">
        <v>0</v>
      </c>
      <c r="H237" s="48"/>
      <c r="I237" s="48">
        <v>9619.52</v>
      </c>
      <c r="J237" s="48"/>
      <c r="K237" s="48">
        <v>0</v>
      </c>
      <c r="L237" s="48"/>
      <c r="M237" s="48">
        <v>714.51</v>
      </c>
      <c r="N237" s="48"/>
      <c r="O237" s="48">
        <v>700</v>
      </c>
      <c r="P237" s="48"/>
      <c r="Q237" s="48">
        <v>800.92</v>
      </c>
      <c r="R237" s="48"/>
      <c r="S237" s="48">
        <v>5.33</v>
      </c>
      <c r="T237" s="48"/>
      <c r="U237" s="48">
        <v>0</v>
      </c>
      <c r="V237" s="48"/>
      <c r="W237" s="48">
        <v>0</v>
      </c>
      <c r="X237" s="48"/>
      <c r="Y237" s="48">
        <v>0</v>
      </c>
      <c r="Z237" s="48"/>
      <c r="AA237" s="48">
        <v>0</v>
      </c>
      <c r="AB237" s="48"/>
      <c r="AC237" s="48">
        <v>0</v>
      </c>
      <c r="AD237" s="48"/>
      <c r="AE237" s="48">
        <v>0</v>
      </c>
      <c r="AF237" s="48"/>
      <c r="AG237" s="48">
        <v>0</v>
      </c>
      <c r="AH237" s="19">
        <f t="shared" si="10"/>
        <v>39216.400000000001</v>
      </c>
      <c r="AI237" s="48">
        <f t="shared" si="11"/>
        <v>39216.400000000001</v>
      </c>
      <c r="AJ237" s="5"/>
      <c r="AK237" s="1"/>
      <c r="AL237" s="1"/>
      <c r="AM237" s="1"/>
    </row>
    <row r="238" spans="1:39" ht="12" customHeight="1" x14ac:dyDescent="0.2">
      <c r="A238" s="1" t="s">
        <v>204</v>
      </c>
      <c r="C238" s="1" t="s">
        <v>494</v>
      </c>
      <c r="E238" s="48">
        <v>51752.83</v>
      </c>
      <c r="F238" s="48"/>
      <c r="G238" s="48">
        <v>290342.46999999997</v>
      </c>
      <c r="H238" s="48"/>
      <c r="I238" s="48">
        <v>197355.16</v>
      </c>
      <c r="J238" s="48"/>
      <c r="K238" s="48">
        <v>0</v>
      </c>
      <c r="L238" s="48"/>
      <c r="M238" s="48">
        <v>5311.25</v>
      </c>
      <c r="N238" s="48"/>
      <c r="O238" s="48">
        <v>12568.8</v>
      </c>
      <c r="P238" s="48"/>
      <c r="Q238" s="48">
        <v>683.7</v>
      </c>
      <c r="R238" s="48"/>
      <c r="S238" s="48">
        <v>38522.239999999998</v>
      </c>
      <c r="T238" s="48"/>
      <c r="U238" s="48">
        <v>0</v>
      </c>
      <c r="V238" s="48"/>
      <c r="W238" s="48">
        <v>0</v>
      </c>
      <c r="X238" s="48"/>
      <c r="Y238" s="48">
        <v>0</v>
      </c>
      <c r="Z238" s="48"/>
      <c r="AA238" s="48">
        <v>0</v>
      </c>
      <c r="AB238" s="48"/>
      <c r="AC238" s="48">
        <v>0</v>
      </c>
      <c r="AD238" s="48"/>
      <c r="AE238" s="48">
        <v>0</v>
      </c>
      <c r="AF238" s="48"/>
      <c r="AG238" s="48">
        <v>0</v>
      </c>
      <c r="AH238" s="19">
        <f t="shared" ref="AH238:AH273" si="12">SUM(D238:AF238)</f>
        <v>596536.44999999995</v>
      </c>
      <c r="AI238" s="48">
        <f t="shared" si="11"/>
        <v>596536.44999999995</v>
      </c>
      <c r="AJ238" s="5"/>
    </row>
    <row r="239" spans="1:39" s="67" customFormat="1" ht="12" customHeight="1" x14ac:dyDescent="0.2">
      <c r="A239" s="1" t="s">
        <v>820</v>
      </c>
      <c r="B239" s="1"/>
      <c r="C239" s="1" t="s">
        <v>379</v>
      </c>
      <c r="D239" s="1"/>
      <c r="E239" s="48">
        <v>74945</v>
      </c>
      <c r="F239" s="48"/>
      <c r="G239" s="48">
        <v>996104</v>
      </c>
      <c r="H239" s="48"/>
      <c r="I239" s="48">
        <v>365130</v>
      </c>
      <c r="J239" s="48"/>
      <c r="K239" s="48">
        <v>0</v>
      </c>
      <c r="L239" s="48"/>
      <c r="M239" s="48">
        <v>62658</v>
      </c>
      <c r="N239" s="48"/>
      <c r="O239" s="48">
        <v>9574</v>
      </c>
      <c r="P239" s="48"/>
      <c r="Q239" s="48">
        <v>10729</v>
      </c>
      <c r="R239" s="48"/>
      <c r="S239" s="48">
        <v>6431</v>
      </c>
      <c r="T239" s="48"/>
      <c r="U239" s="48">
        <v>0</v>
      </c>
      <c r="V239" s="48"/>
      <c r="W239" s="48">
        <v>0</v>
      </c>
      <c r="X239" s="48"/>
      <c r="Y239" s="48">
        <v>0</v>
      </c>
      <c r="Z239" s="48"/>
      <c r="AA239" s="48">
        <v>0</v>
      </c>
      <c r="AB239" s="48"/>
      <c r="AC239" s="48">
        <v>0</v>
      </c>
      <c r="AD239" s="48"/>
      <c r="AE239" s="48">
        <v>0</v>
      </c>
      <c r="AF239" s="48"/>
      <c r="AG239" s="48">
        <v>0</v>
      </c>
      <c r="AH239" s="19">
        <f t="shared" si="12"/>
        <v>1525571</v>
      </c>
      <c r="AI239" s="48">
        <f t="shared" ref="AI239:AI273" si="13">SUM(E239:AG239)</f>
        <v>1525571</v>
      </c>
      <c r="AJ239" s="5"/>
      <c r="AK239" s="1"/>
      <c r="AL239" s="1"/>
      <c r="AM239" s="1"/>
    </row>
    <row r="240" spans="1:39" ht="12" customHeight="1" x14ac:dyDescent="0.2">
      <c r="A240" s="1" t="s">
        <v>89</v>
      </c>
      <c r="C240" s="1" t="s">
        <v>351</v>
      </c>
      <c r="E240" s="48">
        <v>378053.33</v>
      </c>
      <c r="F240" s="48"/>
      <c r="G240" s="48">
        <v>989026.57</v>
      </c>
      <c r="H240" s="48"/>
      <c r="I240" s="48">
        <v>394234.12</v>
      </c>
      <c r="J240" s="48"/>
      <c r="K240" s="48">
        <v>0</v>
      </c>
      <c r="L240" s="48"/>
      <c r="M240" s="48">
        <v>107288.65</v>
      </c>
      <c r="N240" s="48"/>
      <c r="O240" s="48">
        <v>95822.19</v>
      </c>
      <c r="P240" s="48"/>
      <c r="Q240" s="48">
        <v>228.61</v>
      </c>
      <c r="R240" s="48"/>
      <c r="S240" s="48">
        <v>61769.65</v>
      </c>
      <c r="T240" s="48"/>
      <c r="U240" s="48">
        <v>0</v>
      </c>
      <c r="V240" s="48"/>
      <c r="W240" s="48">
        <v>0</v>
      </c>
      <c r="X240" s="48"/>
      <c r="Y240" s="48">
        <v>0</v>
      </c>
      <c r="Z240" s="48"/>
      <c r="AA240" s="48">
        <v>0</v>
      </c>
      <c r="AB240" s="48"/>
      <c r="AC240" s="48">
        <v>0</v>
      </c>
      <c r="AD240" s="48"/>
      <c r="AE240" s="48">
        <v>0</v>
      </c>
      <c r="AF240" s="48"/>
      <c r="AG240" s="48">
        <v>0</v>
      </c>
      <c r="AH240" s="19">
        <f t="shared" si="12"/>
        <v>2026423.1199999999</v>
      </c>
      <c r="AI240" s="48">
        <f t="shared" si="13"/>
        <v>2026423.1199999999</v>
      </c>
      <c r="AJ240" s="5"/>
    </row>
    <row r="241" spans="1:39" ht="12" customHeight="1" x14ac:dyDescent="0.2">
      <c r="A241" s="1" t="s">
        <v>108</v>
      </c>
      <c r="C241" s="1" t="s">
        <v>386</v>
      </c>
      <c r="E241" s="48">
        <v>153238.42000000001</v>
      </c>
      <c r="F241" s="48"/>
      <c r="G241" s="48">
        <v>0</v>
      </c>
      <c r="H241" s="48"/>
      <c r="I241" s="48">
        <v>69650.179999999993</v>
      </c>
      <c r="J241" s="48"/>
      <c r="K241" s="48">
        <v>0</v>
      </c>
      <c r="L241" s="48"/>
      <c r="M241" s="48">
        <v>0</v>
      </c>
      <c r="N241" s="48"/>
      <c r="O241" s="48">
        <v>33488.06</v>
      </c>
      <c r="P241" s="48"/>
      <c r="Q241" s="48">
        <v>2741.97</v>
      </c>
      <c r="R241" s="48"/>
      <c r="S241" s="48">
        <v>7433.08</v>
      </c>
      <c r="T241" s="48"/>
      <c r="U241" s="48">
        <v>0</v>
      </c>
      <c r="V241" s="48"/>
      <c r="W241" s="48">
        <v>0</v>
      </c>
      <c r="X241" s="48"/>
      <c r="Y241" s="48">
        <v>0</v>
      </c>
      <c r="Z241" s="48"/>
      <c r="AA241" s="48">
        <v>139857.94</v>
      </c>
      <c r="AB241" s="48"/>
      <c r="AC241" s="48">
        <v>0</v>
      </c>
      <c r="AD241" s="48"/>
      <c r="AE241" s="48">
        <v>0</v>
      </c>
      <c r="AF241" s="48"/>
      <c r="AG241" s="48">
        <v>0</v>
      </c>
      <c r="AH241" s="19">
        <f t="shared" si="12"/>
        <v>406409.65</v>
      </c>
      <c r="AI241" s="48">
        <f t="shared" si="13"/>
        <v>406409.65</v>
      </c>
      <c r="AJ241" s="5"/>
    </row>
    <row r="242" spans="1:39" ht="12" customHeight="1" x14ac:dyDescent="0.2">
      <c r="A242" s="1" t="s">
        <v>636</v>
      </c>
      <c r="C242" s="1" t="s">
        <v>460</v>
      </c>
      <c r="E242" s="48">
        <v>13424</v>
      </c>
      <c r="F242" s="48"/>
      <c r="G242" s="48">
        <v>19865</v>
      </c>
      <c r="H242" s="48"/>
      <c r="I242" s="48">
        <v>3205</v>
      </c>
      <c r="J242" s="48"/>
      <c r="K242" s="48">
        <v>0</v>
      </c>
      <c r="L242" s="48"/>
      <c r="M242" s="48">
        <v>0</v>
      </c>
      <c r="N242" s="48"/>
      <c r="O242" s="48">
        <v>2371</v>
      </c>
      <c r="P242" s="48"/>
      <c r="Q242" s="48">
        <v>0</v>
      </c>
      <c r="R242" s="48"/>
      <c r="S242" s="48">
        <v>1571</v>
      </c>
      <c r="T242" s="48"/>
      <c r="U242" s="48">
        <v>0</v>
      </c>
      <c r="V242" s="48"/>
      <c r="W242" s="48">
        <v>0</v>
      </c>
      <c r="X242" s="48"/>
      <c r="Y242" s="48">
        <v>0</v>
      </c>
      <c r="Z242" s="48"/>
      <c r="AA242" s="48">
        <v>0</v>
      </c>
      <c r="AB242" s="48"/>
      <c r="AC242" s="48">
        <v>0</v>
      </c>
      <c r="AD242" s="48"/>
      <c r="AE242" s="48">
        <v>0</v>
      </c>
      <c r="AF242" s="48"/>
      <c r="AG242" s="48">
        <v>0</v>
      </c>
      <c r="AH242" s="19">
        <f t="shared" si="12"/>
        <v>40436</v>
      </c>
      <c r="AI242" s="48">
        <f t="shared" si="13"/>
        <v>40436</v>
      </c>
      <c r="AJ242" s="5"/>
      <c r="AK242" s="67"/>
      <c r="AL242" s="67"/>
      <c r="AM242" s="67"/>
    </row>
    <row r="243" spans="1:39" s="14" customFormat="1" ht="12" customHeight="1" x14ac:dyDescent="0.2">
      <c r="A243" s="1" t="s">
        <v>339</v>
      </c>
      <c r="B243" s="1"/>
      <c r="C243" s="1" t="s">
        <v>77</v>
      </c>
      <c r="D243" s="1"/>
      <c r="E243" s="48">
        <v>26754.99</v>
      </c>
      <c r="F243" s="48"/>
      <c r="G243" s="48">
        <v>0</v>
      </c>
      <c r="H243" s="48"/>
      <c r="I243" s="48">
        <v>62800.17</v>
      </c>
      <c r="J243" s="48"/>
      <c r="K243" s="48">
        <v>0</v>
      </c>
      <c r="L243" s="48"/>
      <c r="M243" s="48">
        <v>11385</v>
      </c>
      <c r="N243" s="48"/>
      <c r="O243" s="48">
        <v>6666.5</v>
      </c>
      <c r="P243" s="48"/>
      <c r="Q243" s="48">
        <v>963.28</v>
      </c>
      <c r="R243" s="48"/>
      <c r="S243" s="48">
        <v>7397.21</v>
      </c>
      <c r="T243" s="48"/>
      <c r="U243" s="48">
        <v>0</v>
      </c>
      <c r="V243" s="48"/>
      <c r="W243" s="48">
        <v>0</v>
      </c>
      <c r="X243" s="48"/>
      <c r="Y243" s="48">
        <v>0</v>
      </c>
      <c r="Z243" s="48"/>
      <c r="AA243" s="48">
        <v>0</v>
      </c>
      <c r="AB243" s="48"/>
      <c r="AC243" s="48">
        <v>0</v>
      </c>
      <c r="AD243" s="48"/>
      <c r="AE243" s="48">
        <v>0</v>
      </c>
      <c r="AF243" s="48"/>
      <c r="AG243" s="48">
        <v>0</v>
      </c>
      <c r="AH243" s="19">
        <f t="shared" si="12"/>
        <v>115967.15000000001</v>
      </c>
      <c r="AI243" s="48">
        <f t="shared" si="13"/>
        <v>115967.15000000001</v>
      </c>
      <c r="AJ243" s="5"/>
      <c r="AK243" s="1"/>
      <c r="AL243" s="1"/>
      <c r="AM243" s="1"/>
    </row>
    <row r="244" spans="1:39" s="67" customFormat="1" ht="12" customHeight="1" x14ac:dyDescent="0.2">
      <c r="A244" s="1" t="s">
        <v>23</v>
      </c>
      <c r="B244" s="1"/>
      <c r="C244" s="1" t="s">
        <v>265</v>
      </c>
      <c r="D244" s="1"/>
      <c r="E244" s="48">
        <v>3792.6</v>
      </c>
      <c r="F244" s="48"/>
      <c r="G244" s="48">
        <v>0</v>
      </c>
      <c r="H244" s="48"/>
      <c r="I244" s="48">
        <v>4281.47</v>
      </c>
      <c r="J244" s="48"/>
      <c r="K244" s="48">
        <v>0</v>
      </c>
      <c r="L244" s="48"/>
      <c r="M244" s="48">
        <v>0</v>
      </c>
      <c r="N244" s="48"/>
      <c r="O244" s="48">
        <v>9695.1299999999992</v>
      </c>
      <c r="P244" s="48"/>
      <c r="Q244" s="48">
        <v>583.61</v>
      </c>
      <c r="R244" s="48"/>
      <c r="S244" s="48">
        <v>20253.59</v>
      </c>
      <c r="T244" s="48"/>
      <c r="U244" s="48">
        <v>0</v>
      </c>
      <c r="V244" s="48"/>
      <c r="W244" s="48">
        <v>0</v>
      </c>
      <c r="X244" s="48"/>
      <c r="Y244" s="48">
        <v>0</v>
      </c>
      <c r="Z244" s="48"/>
      <c r="AA244" s="48">
        <v>0</v>
      </c>
      <c r="AB244" s="48"/>
      <c r="AC244" s="48">
        <v>0</v>
      </c>
      <c r="AD244" s="48"/>
      <c r="AE244" s="48">
        <v>0</v>
      </c>
      <c r="AF244" s="48"/>
      <c r="AG244" s="48">
        <v>0</v>
      </c>
      <c r="AH244" s="19">
        <f t="shared" si="12"/>
        <v>38606.399999999994</v>
      </c>
      <c r="AI244" s="48">
        <f t="shared" si="13"/>
        <v>38606.399999999994</v>
      </c>
      <c r="AJ244" s="5"/>
      <c r="AK244" s="1"/>
      <c r="AL244" s="1"/>
      <c r="AM244" s="1"/>
    </row>
    <row r="245" spans="1:39" ht="12" customHeight="1" x14ac:dyDescent="0.2">
      <c r="A245" s="1" t="s">
        <v>800</v>
      </c>
      <c r="C245" s="1" t="s">
        <v>377</v>
      </c>
      <c r="E245" s="48">
        <v>43298.22</v>
      </c>
      <c r="F245" s="48"/>
      <c r="G245" s="48">
        <v>96536.41</v>
      </c>
      <c r="H245" s="48"/>
      <c r="I245" s="48">
        <v>31508.880000000001</v>
      </c>
      <c r="J245" s="48"/>
      <c r="K245" s="48">
        <v>0</v>
      </c>
      <c r="L245" s="48"/>
      <c r="M245" s="48">
        <v>50</v>
      </c>
      <c r="N245" s="48"/>
      <c r="O245" s="48">
        <v>2480.11</v>
      </c>
      <c r="P245" s="48"/>
      <c r="Q245" s="48">
        <v>2177.79</v>
      </c>
      <c r="R245" s="48"/>
      <c r="S245" s="48">
        <v>29627.14</v>
      </c>
      <c r="T245" s="48"/>
      <c r="U245" s="48">
        <v>0</v>
      </c>
      <c r="V245" s="48"/>
      <c r="W245" s="48">
        <v>0</v>
      </c>
      <c r="X245" s="48"/>
      <c r="Y245" s="48">
        <v>0</v>
      </c>
      <c r="Z245" s="48"/>
      <c r="AA245" s="48">
        <v>0</v>
      </c>
      <c r="AB245" s="48"/>
      <c r="AC245" s="48">
        <v>0</v>
      </c>
      <c r="AD245" s="48"/>
      <c r="AE245" s="48">
        <v>0</v>
      </c>
      <c r="AF245" s="48"/>
      <c r="AG245" s="48">
        <v>0</v>
      </c>
      <c r="AH245" s="19">
        <f t="shared" si="12"/>
        <v>205678.55</v>
      </c>
      <c r="AI245" s="48">
        <f t="shared" si="13"/>
        <v>205678.55</v>
      </c>
      <c r="AJ245" s="5"/>
      <c r="AK245" s="87"/>
      <c r="AL245" s="87"/>
      <c r="AM245" s="87"/>
    </row>
    <row r="246" spans="1:39" s="6" customFormat="1" ht="12" customHeight="1" x14ac:dyDescent="0.2">
      <c r="A246" s="1" t="s">
        <v>118</v>
      </c>
      <c r="B246" s="1"/>
      <c r="C246" s="1" t="s">
        <v>406</v>
      </c>
      <c r="D246" s="1"/>
      <c r="E246" s="48">
        <v>3561.88</v>
      </c>
      <c r="F246" s="48"/>
      <c r="G246" s="48">
        <v>0</v>
      </c>
      <c r="H246" s="48"/>
      <c r="I246" s="48">
        <v>9609.61</v>
      </c>
      <c r="J246" s="48"/>
      <c r="K246" s="48">
        <v>0</v>
      </c>
      <c r="L246" s="48"/>
      <c r="M246" s="48">
        <v>0</v>
      </c>
      <c r="N246" s="48"/>
      <c r="O246" s="48">
        <v>342973.54</v>
      </c>
      <c r="P246" s="48"/>
      <c r="Q246" s="48">
        <v>101.47</v>
      </c>
      <c r="R246" s="48"/>
      <c r="S246" s="48">
        <v>5529.98</v>
      </c>
      <c r="T246" s="48"/>
      <c r="U246" s="48">
        <v>0</v>
      </c>
      <c r="V246" s="48"/>
      <c r="W246" s="48">
        <v>0</v>
      </c>
      <c r="X246" s="48"/>
      <c r="Y246" s="48">
        <v>0</v>
      </c>
      <c r="Z246" s="48"/>
      <c r="AA246" s="48">
        <v>0</v>
      </c>
      <c r="AB246" s="48"/>
      <c r="AC246" s="48">
        <v>0</v>
      </c>
      <c r="AD246" s="48"/>
      <c r="AE246" s="48">
        <v>3459.95</v>
      </c>
      <c r="AF246" s="48"/>
      <c r="AG246" s="48">
        <v>0</v>
      </c>
      <c r="AH246" s="19">
        <f t="shared" si="12"/>
        <v>365236.42999999993</v>
      </c>
      <c r="AI246" s="48">
        <f t="shared" si="13"/>
        <v>365236.42999999993</v>
      </c>
      <c r="AJ246" s="5"/>
      <c r="AK246" s="1"/>
      <c r="AL246" s="1"/>
      <c r="AM246" s="1"/>
    </row>
    <row r="247" spans="1:39" ht="12" customHeight="1" x14ac:dyDescent="0.2">
      <c r="A247" s="1" t="s">
        <v>703</v>
      </c>
      <c r="C247" s="1" t="s">
        <v>408</v>
      </c>
      <c r="E247" s="48">
        <v>51781.91</v>
      </c>
      <c r="F247" s="48"/>
      <c r="G247" s="48">
        <v>0</v>
      </c>
      <c r="H247" s="48"/>
      <c r="I247" s="48">
        <v>16995.560000000001</v>
      </c>
      <c r="J247" s="48"/>
      <c r="K247" s="48">
        <v>0</v>
      </c>
      <c r="L247" s="48"/>
      <c r="M247" s="48">
        <v>0</v>
      </c>
      <c r="N247" s="48"/>
      <c r="O247" s="48">
        <v>7791.64</v>
      </c>
      <c r="P247" s="48"/>
      <c r="Q247" s="48">
        <v>127.22</v>
      </c>
      <c r="R247" s="48"/>
      <c r="S247" s="48">
        <v>437.56</v>
      </c>
      <c r="T247" s="48"/>
      <c r="U247" s="48">
        <v>0</v>
      </c>
      <c r="V247" s="48"/>
      <c r="W247" s="48">
        <v>0</v>
      </c>
      <c r="X247" s="48"/>
      <c r="Y247" s="48">
        <v>0</v>
      </c>
      <c r="Z247" s="48"/>
      <c r="AA247" s="48">
        <v>0</v>
      </c>
      <c r="AB247" s="48"/>
      <c r="AC247" s="48">
        <v>0</v>
      </c>
      <c r="AD247" s="48"/>
      <c r="AE247" s="48">
        <v>0</v>
      </c>
      <c r="AF247" s="48"/>
      <c r="AG247" s="48">
        <v>0</v>
      </c>
      <c r="AH247" s="19">
        <f t="shared" si="12"/>
        <v>77133.89</v>
      </c>
      <c r="AI247" s="48">
        <f t="shared" si="13"/>
        <v>77133.89</v>
      </c>
      <c r="AJ247" s="5"/>
    </row>
    <row r="248" spans="1:39" ht="12" customHeight="1" x14ac:dyDescent="0.2">
      <c r="A248" s="1" t="s">
        <v>131</v>
      </c>
      <c r="C248" s="1" t="s">
        <v>423</v>
      </c>
      <c r="E248" s="48">
        <v>5622.75</v>
      </c>
      <c r="F248" s="48"/>
      <c r="G248" s="48">
        <v>0</v>
      </c>
      <c r="H248" s="48"/>
      <c r="I248" s="48">
        <v>4439.79</v>
      </c>
      <c r="J248" s="48"/>
      <c r="K248" s="48">
        <v>0</v>
      </c>
      <c r="L248" s="48"/>
      <c r="M248" s="48">
        <v>0</v>
      </c>
      <c r="N248" s="48"/>
      <c r="O248" s="48">
        <v>527.41999999999996</v>
      </c>
      <c r="P248" s="48"/>
      <c r="Q248" s="48">
        <v>0</v>
      </c>
      <c r="R248" s="48"/>
      <c r="S248" s="48">
        <v>27880.85</v>
      </c>
      <c r="T248" s="48"/>
      <c r="U248" s="48">
        <v>0</v>
      </c>
      <c r="V248" s="48"/>
      <c r="W248" s="48">
        <v>0</v>
      </c>
      <c r="X248" s="48"/>
      <c r="Y248" s="48">
        <v>0</v>
      </c>
      <c r="Z248" s="48"/>
      <c r="AA248" s="48">
        <v>0</v>
      </c>
      <c r="AB248" s="48"/>
      <c r="AC248" s="48">
        <v>0</v>
      </c>
      <c r="AD248" s="48"/>
      <c r="AE248" s="48">
        <v>0</v>
      </c>
      <c r="AF248" s="48"/>
      <c r="AG248" s="48">
        <v>0</v>
      </c>
      <c r="AH248" s="19">
        <f t="shared" si="12"/>
        <v>38470.81</v>
      </c>
      <c r="AI248" s="48">
        <f t="shared" si="13"/>
        <v>38470.81</v>
      </c>
      <c r="AJ248" s="5"/>
      <c r="AK248" s="4"/>
      <c r="AL248" s="4"/>
      <c r="AM248" s="4"/>
    </row>
    <row r="249" spans="1:39" ht="12" customHeight="1" x14ac:dyDescent="0.2">
      <c r="A249" s="1" t="s">
        <v>246</v>
      </c>
      <c r="C249" s="1" t="s">
        <v>566</v>
      </c>
      <c r="E249" s="48">
        <v>13921.03</v>
      </c>
      <c r="F249" s="48"/>
      <c r="G249" s="48">
        <v>0</v>
      </c>
      <c r="H249" s="48"/>
      <c r="I249" s="48">
        <v>6036.95</v>
      </c>
      <c r="J249" s="48"/>
      <c r="K249" s="48">
        <v>0</v>
      </c>
      <c r="L249" s="48"/>
      <c r="M249" s="48">
        <v>0</v>
      </c>
      <c r="N249" s="48"/>
      <c r="O249" s="48">
        <v>0</v>
      </c>
      <c r="P249" s="48"/>
      <c r="Q249" s="48">
        <v>140.72</v>
      </c>
      <c r="R249" s="48"/>
      <c r="S249" s="48">
        <v>2837.38</v>
      </c>
      <c r="T249" s="48"/>
      <c r="U249" s="48">
        <v>0</v>
      </c>
      <c r="V249" s="48"/>
      <c r="W249" s="48">
        <v>0</v>
      </c>
      <c r="X249" s="48"/>
      <c r="Y249" s="48">
        <v>0</v>
      </c>
      <c r="Z249" s="48"/>
      <c r="AA249" s="48">
        <v>0</v>
      </c>
      <c r="AB249" s="48"/>
      <c r="AC249" s="48">
        <v>0</v>
      </c>
      <c r="AD249" s="48"/>
      <c r="AE249" s="48">
        <v>5783</v>
      </c>
      <c r="AF249" s="48"/>
      <c r="AG249" s="48">
        <v>0</v>
      </c>
      <c r="AH249" s="19">
        <f t="shared" si="12"/>
        <v>28719.08</v>
      </c>
      <c r="AI249" s="48">
        <f t="shared" si="13"/>
        <v>28719.08</v>
      </c>
      <c r="AJ249" s="5"/>
    </row>
    <row r="250" spans="1:39" ht="12" customHeight="1" x14ac:dyDescent="0.2">
      <c r="A250" s="1" t="s">
        <v>801</v>
      </c>
      <c r="C250" s="1" t="s">
        <v>329</v>
      </c>
      <c r="E250" s="48">
        <v>4543.83</v>
      </c>
      <c r="F250" s="48"/>
      <c r="G250" s="48">
        <v>49055.27</v>
      </c>
      <c r="H250" s="48"/>
      <c r="I250" s="48">
        <v>21018.48</v>
      </c>
      <c r="J250" s="48"/>
      <c r="K250" s="48">
        <v>0</v>
      </c>
      <c r="L250" s="48"/>
      <c r="M250" s="48">
        <v>1100</v>
      </c>
      <c r="N250" s="48"/>
      <c r="O250" s="48">
        <v>11006.31</v>
      </c>
      <c r="P250" s="48"/>
      <c r="Q250" s="48">
        <v>48.3</v>
      </c>
      <c r="R250" s="48"/>
      <c r="S250" s="48">
        <v>4324.76</v>
      </c>
      <c r="T250" s="48"/>
      <c r="U250" s="48">
        <v>0</v>
      </c>
      <c r="V250" s="48"/>
      <c r="W250" s="48">
        <v>0</v>
      </c>
      <c r="X250" s="48"/>
      <c r="Y250" s="48">
        <v>0</v>
      </c>
      <c r="Z250" s="48"/>
      <c r="AA250" s="48">
        <v>0</v>
      </c>
      <c r="AB250" s="48"/>
      <c r="AC250" s="48">
        <v>0</v>
      </c>
      <c r="AD250" s="48"/>
      <c r="AE250" s="48">
        <v>0</v>
      </c>
      <c r="AF250" s="48"/>
      <c r="AG250" s="48">
        <v>0</v>
      </c>
      <c r="AH250" s="19">
        <f t="shared" si="12"/>
        <v>91096.95</v>
      </c>
      <c r="AI250" s="48">
        <f t="shared" si="13"/>
        <v>91096.95</v>
      </c>
      <c r="AJ250" s="5"/>
    </row>
    <row r="251" spans="1:39" ht="12" customHeight="1" x14ac:dyDescent="0.2">
      <c r="A251" s="1" t="s">
        <v>715</v>
      </c>
      <c r="C251" s="1" t="s">
        <v>373</v>
      </c>
      <c r="E251" s="48">
        <v>9093.99</v>
      </c>
      <c r="F251" s="48"/>
      <c r="G251" s="48">
        <v>0</v>
      </c>
      <c r="H251" s="48"/>
      <c r="I251" s="48">
        <v>19007.93</v>
      </c>
      <c r="J251" s="48"/>
      <c r="K251" s="48">
        <v>0</v>
      </c>
      <c r="L251" s="48"/>
      <c r="M251" s="48">
        <v>2031.21</v>
      </c>
      <c r="N251" s="48"/>
      <c r="O251" s="48">
        <v>0</v>
      </c>
      <c r="P251" s="48"/>
      <c r="Q251" s="48">
        <v>5.64</v>
      </c>
      <c r="R251" s="48"/>
      <c r="S251" s="48">
        <v>1113.27</v>
      </c>
      <c r="T251" s="48"/>
      <c r="U251" s="48">
        <v>0</v>
      </c>
      <c r="V251" s="48"/>
      <c r="W251" s="48">
        <v>0</v>
      </c>
      <c r="X251" s="48"/>
      <c r="Y251" s="48">
        <v>0</v>
      </c>
      <c r="Z251" s="48"/>
      <c r="AA251" s="48">
        <v>0</v>
      </c>
      <c r="AB251" s="48"/>
      <c r="AC251" s="48">
        <v>0</v>
      </c>
      <c r="AD251" s="48"/>
      <c r="AE251" s="48">
        <v>0</v>
      </c>
      <c r="AF251" s="48"/>
      <c r="AG251" s="48">
        <v>0</v>
      </c>
      <c r="AH251" s="19">
        <f t="shared" si="12"/>
        <v>31252.039999999997</v>
      </c>
      <c r="AI251" s="48">
        <f t="shared" si="13"/>
        <v>31252.039999999997</v>
      </c>
      <c r="AJ251" s="5"/>
      <c r="AK251" s="67"/>
      <c r="AL251" s="67"/>
      <c r="AM251" s="67"/>
    </row>
    <row r="252" spans="1:39" ht="12" customHeight="1" x14ac:dyDescent="0.2">
      <c r="A252" s="1" t="s">
        <v>4</v>
      </c>
      <c r="C252" s="1" t="s">
        <v>651</v>
      </c>
      <c r="E252" s="48">
        <v>30694</v>
      </c>
      <c r="F252" s="48"/>
      <c r="G252" s="48">
        <v>49486.59</v>
      </c>
      <c r="H252" s="48"/>
      <c r="I252" s="48">
        <v>9149.43</v>
      </c>
      <c r="J252" s="48"/>
      <c r="K252" s="48">
        <v>0</v>
      </c>
      <c r="L252" s="48"/>
      <c r="M252" s="48">
        <v>0</v>
      </c>
      <c r="N252" s="48"/>
      <c r="O252" s="48">
        <v>85</v>
      </c>
      <c r="P252" s="48"/>
      <c r="Q252" s="48">
        <v>37.299999999999997</v>
      </c>
      <c r="R252" s="48"/>
      <c r="S252" s="48">
        <v>465.87</v>
      </c>
      <c r="T252" s="48"/>
      <c r="U252" s="48">
        <v>0</v>
      </c>
      <c r="V252" s="48"/>
      <c r="W252" s="48">
        <v>0</v>
      </c>
      <c r="X252" s="48"/>
      <c r="Y252" s="48">
        <v>0</v>
      </c>
      <c r="Z252" s="48"/>
      <c r="AA252" s="48">
        <v>0</v>
      </c>
      <c r="AB252" s="48"/>
      <c r="AC252" s="48">
        <v>0</v>
      </c>
      <c r="AD252" s="48"/>
      <c r="AE252" s="48">
        <v>0</v>
      </c>
      <c r="AF252" s="48"/>
      <c r="AG252" s="48">
        <v>0</v>
      </c>
      <c r="AH252" s="19">
        <f t="shared" si="12"/>
        <v>89918.189999999988</v>
      </c>
      <c r="AI252" s="48">
        <f t="shared" si="13"/>
        <v>89918.189999999988</v>
      </c>
      <c r="AJ252" s="5"/>
      <c r="AK252" s="67"/>
      <c r="AL252" s="67"/>
      <c r="AM252" s="67"/>
    </row>
    <row r="253" spans="1:39" ht="12" customHeight="1" x14ac:dyDescent="0.2">
      <c r="A253" s="1" t="s">
        <v>410</v>
      </c>
      <c r="C253" s="1" t="s">
        <v>408</v>
      </c>
      <c r="E253" s="48">
        <v>14617.06</v>
      </c>
      <c r="F253" s="48"/>
      <c r="G253" s="48">
        <v>0</v>
      </c>
      <c r="H253" s="48"/>
      <c r="I253" s="48">
        <v>15363.29</v>
      </c>
      <c r="J253" s="48"/>
      <c r="K253" s="48">
        <v>0</v>
      </c>
      <c r="L253" s="48"/>
      <c r="M253" s="48">
        <v>2327.0100000000002</v>
      </c>
      <c r="N253" s="48"/>
      <c r="O253" s="48">
        <v>3807.95</v>
      </c>
      <c r="P253" s="48"/>
      <c r="Q253" s="48">
        <v>65.16</v>
      </c>
      <c r="R253" s="48"/>
      <c r="S253" s="48">
        <v>943.35</v>
      </c>
      <c r="T253" s="48"/>
      <c r="U253" s="48">
        <v>0</v>
      </c>
      <c r="V253" s="48"/>
      <c r="W253" s="48">
        <v>0</v>
      </c>
      <c r="X253" s="48"/>
      <c r="Y253" s="48">
        <v>0</v>
      </c>
      <c r="Z253" s="48"/>
      <c r="AA253" s="48">
        <v>0</v>
      </c>
      <c r="AB253" s="48"/>
      <c r="AC253" s="48">
        <v>0</v>
      </c>
      <c r="AD253" s="48"/>
      <c r="AE253" s="48">
        <v>0</v>
      </c>
      <c r="AF253" s="48"/>
      <c r="AG253" s="48">
        <v>0</v>
      </c>
      <c r="AH253" s="19">
        <f t="shared" si="12"/>
        <v>37123.82</v>
      </c>
      <c r="AI253" s="48">
        <f t="shared" si="13"/>
        <v>37123.82</v>
      </c>
      <c r="AJ253" s="5"/>
    </row>
    <row r="254" spans="1:39" s="67" customFormat="1" ht="12" customHeight="1" x14ac:dyDescent="0.2">
      <c r="A254" s="1" t="s">
        <v>505</v>
      </c>
      <c r="B254" s="1"/>
      <c r="C254" s="1" t="s">
        <v>502</v>
      </c>
      <c r="D254" s="1"/>
      <c r="E254" s="48">
        <v>109613</v>
      </c>
      <c r="F254" s="48"/>
      <c r="G254" s="48">
        <v>1026377</v>
      </c>
      <c r="H254" s="48"/>
      <c r="I254" s="48">
        <v>238449</v>
      </c>
      <c r="J254" s="48"/>
      <c r="K254" s="48">
        <v>0</v>
      </c>
      <c r="L254" s="48"/>
      <c r="M254" s="48">
        <v>2395</v>
      </c>
      <c r="N254" s="48"/>
      <c r="O254" s="48">
        <v>110391</v>
      </c>
      <c r="P254" s="48"/>
      <c r="Q254" s="48">
        <v>187</v>
      </c>
      <c r="R254" s="48"/>
      <c r="S254" s="48">
        <v>18513</v>
      </c>
      <c r="T254" s="48"/>
      <c r="U254" s="48">
        <v>0</v>
      </c>
      <c r="V254" s="48"/>
      <c r="W254" s="48">
        <v>0</v>
      </c>
      <c r="X254" s="48"/>
      <c r="Y254" s="48">
        <v>0</v>
      </c>
      <c r="Z254" s="48"/>
      <c r="AA254" s="48">
        <v>0</v>
      </c>
      <c r="AB254" s="48"/>
      <c r="AC254" s="48">
        <v>4498</v>
      </c>
      <c r="AD254" s="48"/>
      <c r="AE254" s="48">
        <v>0</v>
      </c>
      <c r="AF254" s="48"/>
      <c r="AG254" s="48">
        <v>0</v>
      </c>
      <c r="AH254" s="19">
        <f t="shared" si="12"/>
        <v>1510423</v>
      </c>
      <c r="AI254" s="48">
        <f t="shared" si="13"/>
        <v>1510423</v>
      </c>
      <c r="AJ254" s="5"/>
      <c r="AK254" s="87"/>
      <c r="AL254" s="87"/>
      <c r="AM254" s="87"/>
    </row>
    <row r="255" spans="1:39" ht="12" customHeight="1" x14ac:dyDescent="0.2">
      <c r="A255" s="1" t="s">
        <v>540</v>
      </c>
      <c r="C255" s="1" t="s">
        <v>541</v>
      </c>
      <c r="E255" s="48">
        <v>37922.51</v>
      </c>
      <c r="F255" s="48"/>
      <c r="G255" s="48">
        <v>0</v>
      </c>
      <c r="H255" s="48"/>
      <c r="I255" s="48">
        <v>11360.52</v>
      </c>
      <c r="J255" s="48"/>
      <c r="K255" s="48">
        <v>0</v>
      </c>
      <c r="L255" s="48"/>
      <c r="M255" s="48">
        <v>60298.54</v>
      </c>
      <c r="N255" s="48"/>
      <c r="O255" s="48">
        <v>71492.899999999994</v>
      </c>
      <c r="P255" s="48"/>
      <c r="Q255" s="48">
        <v>118.45</v>
      </c>
      <c r="R255" s="48"/>
      <c r="S255" s="48">
        <v>35135.230000000003</v>
      </c>
      <c r="T255" s="48"/>
      <c r="U255" s="48">
        <v>0</v>
      </c>
      <c r="V255" s="48"/>
      <c r="W255" s="48">
        <v>0</v>
      </c>
      <c r="X255" s="48"/>
      <c r="Y255" s="48">
        <v>0</v>
      </c>
      <c r="Z255" s="48"/>
      <c r="AA255" s="48">
        <v>0</v>
      </c>
      <c r="AB255" s="48"/>
      <c r="AC255" s="48">
        <v>0</v>
      </c>
      <c r="AD255" s="48"/>
      <c r="AE255" s="48">
        <v>0</v>
      </c>
      <c r="AF255" s="48"/>
      <c r="AG255" s="48">
        <v>0</v>
      </c>
      <c r="AH255" s="19">
        <f t="shared" si="12"/>
        <v>216328.15000000002</v>
      </c>
      <c r="AI255" s="48">
        <f t="shared" si="13"/>
        <v>216328.15000000002</v>
      </c>
      <c r="AJ255" s="5"/>
      <c r="AK255" s="4"/>
      <c r="AL255" s="4"/>
      <c r="AM255" s="4"/>
    </row>
    <row r="256" spans="1:39" ht="12" customHeight="1" x14ac:dyDescent="0.2">
      <c r="A256" s="1" t="s">
        <v>238</v>
      </c>
      <c r="C256" s="1" t="s">
        <v>558</v>
      </c>
      <c r="E256" s="48">
        <v>76022.850000000006</v>
      </c>
      <c r="F256" s="48"/>
      <c r="G256" s="48">
        <v>0</v>
      </c>
      <c r="H256" s="48"/>
      <c r="I256" s="48">
        <v>18268.78</v>
      </c>
      <c r="J256" s="48"/>
      <c r="K256" s="48">
        <v>0</v>
      </c>
      <c r="L256" s="48"/>
      <c r="M256" s="48">
        <v>0</v>
      </c>
      <c r="N256" s="48"/>
      <c r="O256" s="48">
        <v>7279.16</v>
      </c>
      <c r="P256" s="48"/>
      <c r="Q256" s="48">
        <v>351.57</v>
      </c>
      <c r="R256" s="48"/>
      <c r="S256" s="48">
        <v>402629.93</v>
      </c>
      <c r="T256" s="48"/>
      <c r="U256" s="48">
        <v>0</v>
      </c>
      <c r="V256" s="48"/>
      <c r="W256" s="48">
        <v>0</v>
      </c>
      <c r="X256" s="48"/>
      <c r="Y256" s="48">
        <v>0</v>
      </c>
      <c r="Z256" s="48"/>
      <c r="AA256" s="48">
        <v>160461.04999999999</v>
      </c>
      <c r="AB256" s="48"/>
      <c r="AC256" s="48">
        <v>0</v>
      </c>
      <c r="AD256" s="48"/>
      <c r="AE256" s="48">
        <v>0</v>
      </c>
      <c r="AF256" s="48"/>
      <c r="AG256" s="48">
        <v>0</v>
      </c>
      <c r="AH256" s="19">
        <f t="shared" si="12"/>
        <v>665013.34000000008</v>
      </c>
      <c r="AI256" s="48">
        <f t="shared" si="13"/>
        <v>665013.34000000008</v>
      </c>
      <c r="AJ256" s="5"/>
    </row>
    <row r="257" spans="1:39" s="67" customFormat="1" ht="12" customHeight="1" x14ac:dyDescent="0.2">
      <c r="A257" s="1" t="s">
        <v>169</v>
      </c>
      <c r="B257" s="1"/>
      <c r="C257" s="1" t="s">
        <v>460</v>
      </c>
      <c r="D257" s="1"/>
      <c r="E257" s="48">
        <v>12268.48</v>
      </c>
      <c r="F257" s="48"/>
      <c r="G257" s="48">
        <v>0</v>
      </c>
      <c r="H257" s="48"/>
      <c r="I257" s="48">
        <v>18404.830000000002</v>
      </c>
      <c r="J257" s="48"/>
      <c r="K257" s="48">
        <v>0</v>
      </c>
      <c r="L257" s="48"/>
      <c r="M257" s="48">
        <v>0</v>
      </c>
      <c r="N257" s="48"/>
      <c r="O257" s="48">
        <v>0</v>
      </c>
      <c r="P257" s="48"/>
      <c r="Q257" s="48">
        <v>170.12</v>
      </c>
      <c r="R257" s="48"/>
      <c r="S257" s="48">
        <v>605</v>
      </c>
      <c r="T257" s="48"/>
      <c r="U257" s="48">
        <v>0</v>
      </c>
      <c r="V257" s="48"/>
      <c r="W257" s="48">
        <v>0</v>
      </c>
      <c r="X257" s="48"/>
      <c r="Y257" s="48">
        <v>0</v>
      </c>
      <c r="Z257" s="48"/>
      <c r="AA257" s="48">
        <v>0</v>
      </c>
      <c r="AB257" s="48"/>
      <c r="AC257" s="48">
        <v>0</v>
      </c>
      <c r="AD257" s="48"/>
      <c r="AE257" s="48">
        <v>0</v>
      </c>
      <c r="AF257" s="48"/>
      <c r="AG257" s="48">
        <v>0</v>
      </c>
      <c r="AH257" s="19">
        <f t="shared" si="12"/>
        <v>31448.43</v>
      </c>
      <c r="AI257" s="48">
        <f t="shared" si="13"/>
        <v>31448.43</v>
      </c>
      <c r="AJ257" s="5"/>
      <c r="AK257" s="1"/>
      <c r="AL257" s="1"/>
      <c r="AM257" s="1"/>
    </row>
    <row r="258" spans="1:39" ht="12" customHeight="1" x14ac:dyDescent="0.2">
      <c r="A258" s="1" t="s">
        <v>7</v>
      </c>
      <c r="C258" s="1" t="s">
        <v>848</v>
      </c>
      <c r="E258" s="48">
        <v>25397.040000000001</v>
      </c>
      <c r="F258" s="48"/>
      <c r="G258" s="48">
        <v>0</v>
      </c>
      <c r="H258" s="48"/>
      <c r="I258" s="48">
        <v>19706.77</v>
      </c>
      <c r="J258" s="48"/>
      <c r="K258" s="48">
        <v>0</v>
      </c>
      <c r="L258" s="48"/>
      <c r="M258" s="48">
        <v>9372.9699999999993</v>
      </c>
      <c r="N258" s="48"/>
      <c r="O258" s="48">
        <v>136</v>
      </c>
      <c r="P258" s="48"/>
      <c r="Q258" s="48">
        <v>209.34</v>
      </c>
      <c r="R258" s="48"/>
      <c r="S258" s="48">
        <v>919.53</v>
      </c>
      <c r="T258" s="48"/>
      <c r="U258" s="48">
        <v>0</v>
      </c>
      <c r="V258" s="48"/>
      <c r="W258" s="48">
        <v>0</v>
      </c>
      <c r="X258" s="48"/>
      <c r="Y258" s="48">
        <v>0</v>
      </c>
      <c r="Z258" s="48"/>
      <c r="AA258" s="48">
        <v>0</v>
      </c>
      <c r="AB258" s="48"/>
      <c r="AC258" s="48">
        <v>0</v>
      </c>
      <c r="AD258" s="48"/>
      <c r="AE258" s="48">
        <v>0</v>
      </c>
      <c r="AF258" s="48"/>
      <c r="AG258" s="48">
        <v>0</v>
      </c>
      <c r="AH258" s="19">
        <f t="shared" si="12"/>
        <v>55741.649999999994</v>
      </c>
      <c r="AI258" s="48">
        <f t="shared" si="13"/>
        <v>55741.649999999994</v>
      </c>
      <c r="AJ258" s="5"/>
      <c r="AK258" s="67"/>
      <c r="AL258" s="67"/>
      <c r="AM258" s="67"/>
    </row>
    <row r="259" spans="1:39" ht="12" customHeight="1" x14ac:dyDescent="0.2">
      <c r="A259" s="1" t="s">
        <v>411</v>
      </c>
      <c r="C259" s="1" t="s">
        <v>408</v>
      </c>
      <c r="E259" s="48">
        <v>136213.32999999999</v>
      </c>
      <c r="F259" s="48"/>
      <c r="G259" s="48">
        <v>1457627.45</v>
      </c>
      <c r="H259" s="48"/>
      <c r="I259" s="48">
        <v>135647.88</v>
      </c>
      <c r="J259" s="48"/>
      <c r="K259" s="48">
        <v>252525</v>
      </c>
      <c r="L259" s="48"/>
      <c r="M259" s="48">
        <v>162120.35999999999</v>
      </c>
      <c r="N259" s="48"/>
      <c r="O259" s="48">
        <v>19029.669999999998</v>
      </c>
      <c r="P259" s="48"/>
      <c r="Q259" s="48">
        <v>11140.63</v>
      </c>
      <c r="R259" s="48"/>
      <c r="S259" s="48">
        <v>25890.46</v>
      </c>
      <c r="T259" s="48"/>
      <c r="U259" s="48">
        <v>0</v>
      </c>
      <c r="V259" s="48"/>
      <c r="W259" s="48">
        <v>0</v>
      </c>
      <c r="X259" s="48"/>
      <c r="Y259" s="48">
        <v>0</v>
      </c>
      <c r="Z259" s="48"/>
      <c r="AA259" s="48">
        <v>0</v>
      </c>
      <c r="AB259" s="48"/>
      <c r="AC259" s="48">
        <v>0</v>
      </c>
      <c r="AD259" s="48"/>
      <c r="AE259" s="48">
        <v>0</v>
      </c>
      <c r="AF259" s="48"/>
      <c r="AG259" s="48">
        <v>0</v>
      </c>
      <c r="AH259" s="19">
        <f t="shared" si="12"/>
        <v>2200194.7799999998</v>
      </c>
      <c r="AI259" s="48">
        <f t="shared" si="13"/>
        <v>2200194.7799999998</v>
      </c>
      <c r="AJ259" s="5"/>
    </row>
    <row r="260" spans="1:39" s="67" customFormat="1" ht="12" customHeight="1" x14ac:dyDescent="0.2">
      <c r="A260" s="1" t="s">
        <v>199</v>
      </c>
      <c r="B260" s="1"/>
      <c r="C260" s="1" t="s">
        <v>487</v>
      </c>
      <c r="D260" s="1"/>
      <c r="E260" s="48">
        <v>20470.57</v>
      </c>
      <c r="F260" s="48"/>
      <c r="G260" s="48">
        <v>0</v>
      </c>
      <c r="H260" s="48"/>
      <c r="I260" s="48">
        <v>7711.09</v>
      </c>
      <c r="J260" s="48"/>
      <c r="K260" s="48">
        <v>0</v>
      </c>
      <c r="L260" s="48"/>
      <c r="M260" s="48">
        <v>15285.5</v>
      </c>
      <c r="N260" s="48"/>
      <c r="O260" s="48">
        <v>0</v>
      </c>
      <c r="P260" s="48"/>
      <c r="Q260" s="48">
        <v>93.3</v>
      </c>
      <c r="R260" s="48"/>
      <c r="S260" s="48">
        <v>6212.74</v>
      </c>
      <c r="T260" s="48"/>
      <c r="U260" s="48">
        <v>0</v>
      </c>
      <c r="V260" s="48"/>
      <c r="W260" s="48">
        <v>0</v>
      </c>
      <c r="X260" s="48"/>
      <c r="Y260" s="48">
        <v>0</v>
      </c>
      <c r="Z260" s="48"/>
      <c r="AA260" s="48">
        <v>0</v>
      </c>
      <c r="AB260" s="48"/>
      <c r="AC260" s="48">
        <v>0</v>
      </c>
      <c r="AD260" s="48"/>
      <c r="AE260" s="48">
        <v>0</v>
      </c>
      <c r="AF260" s="48"/>
      <c r="AG260" s="48">
        <v>0</v>
      </c>
      <c r="AH260" s="19">
        <f t="shared" si="12"/>
        <v>49773.200000000004</v>
      </c>
      <c r="AI260" s="48">
        <f t="shared" si="13"/>
        <v>49773.200000000004</v>
      </c>
      <c r="AJ260" s="5"/>
      <c r="AK260" s="1"/>
      <c r="AL260" s="1"/>
      <c r="AM260" s="1"/>
    </row>
    <row r="261" spans="1:39" ht="12" customHeight="1" x14ac:dyDescent="0.2">
      <c r="A261" s="1" t="s">
        <v>318</v>
      </c>
      <c r="C261" s="1" t="s">
        <v>319</v>
      </c>
      <c r="E261" s="48">
        <v>91804</v>
      </c>
      <c r="F261" s="48"/>
      <c r="G261" s="48">
        <v>1103673</v>
      </c>
      <c r="H261" s="48"/>
      <c r="I261" s="48">
        <v>126683</v>
      </c>
      <c r="J261" s="48"/>
      <c r="K261" s="48">
        <v>0</v>
      </c>
      <c r="L261" s="48"/>
      <c r="M261" s="48">
        <v>20392</v>
      </c>
      <c r="N261" s="48"/>
      <c r="O261" s="48">
        <v>26961</v>
      </c>
      <c r="P261" s="48"/>
      <c r="Q261" s="48">
        <v>21899</v>
      </c>
      <c r="R261" s="48"/>
      <c r="S261" s="48">
        <v>35484</v>
      </c>
      <c r="T261" s="48"/>
      <c r="U261" s="48">
        <v>0</v>
      </c>
      <c r="V261" s="48"/>
      <c r="W261" s="48">
        <v>0</v>
      </c>
      <c r="X261" s="48"/>
      <c r="Y261" s="48">
        <v>0</v>
      </c>
      <c r="Z261" s="48"/>
      <c r="AA261" s="48">
        <v>0</v>
      </c>
      <c r="AB261" s="48"/>
      <c r="AC261" s="48">
        <v>0</v>
      </c>
      <c r="AD261" s="48"/>
      <c r="AE261" s="48">
        <v>0</v>
      </c>
      <c r="AF261" s="48"/>
      <c r="AG261" s="48">
        <v>0</v>
      </c>
      <c r="AH261" s="19">
        <f t="shared" si="12"/>
        <v>1426896</v>
      </c>
      <c r="AI261" s="48">
        <f t="shared" si="13"/>
        <v>1426896</v>
      </c>
      <c r="AJ261" s="5"/>
      <c r="AK261" s="87"/>
      <c r="AL261" s="87"/>
      <c r="AM261" s="87"/>
    </row>
    <row r="262" spans="1:39" ht="12" customHeight="1" x14ac:dyDescent="0.2">
      <c r="A262" s="1" t="s">
        <v>831</v>
      </c>
      <c r="C262" s="1" t="s">
        <v>685</v>
      </c>
      <c r="E262" s="48">
        <v>5213</v>
      </c>
      <c r="F262" s="48"/>
      <c r="G262" s="48">
        <v>0</v>
      </c>
      <c r="H262" s="48"/>
      <c r="I262" s="48">
        <v>6393</v>
      </c>
      <c r="J262" s="48"/>
      <c r="K262" s="48">
        <v>0</v>
      </c>
      <c r="L262" s="48"/>
      <c r="M262" s="48">
        <v>0</v>
      </c>
      <c r="N262" s="48"/>
      <c r="O262" s="48">
        <v>1137</v>
      </c>
      <c r="P262" s="48"/>
      <c r="Q262" s="48">
        <v>0</v>
      </c>
      <c r="R262" s="48"/>
      <c r="S262" s="48">
        <v>6130</v>
      </c>
      <c r="T262" s="48"/>
      <c r="U262" s="48">
        <v>0</v>
      </c>
      <c r="V262" s="48"/>
      <c r="W262" s="48">
        <v>0</v>
      </c>
      <c r="X262" s="48"/>
      <c r="Y262" s="48">
        <v>0</v>
      </c>
      <c r="Z262" s="48"/>
      <c r="AA262" s="48">
        <v>0</v>
      </c>
      <c r="AB262" s="48"/>
      <c r="AC262" s="48">
        <v>0</v>
      </c>
      <c r="AD262" s="48"/>
      <c r="AE262" s="48">
        <v>0</v>
      </c>
      <c r="AF262" s="48"/>
      <c r="AG262" s="48">
        <v>0</v>
      </c>
      <c r="AH262" s="19">
        <f t="shared" si="12"/>
        <v>18873</v>
      </c>
      <c r="AI262" s="48">
        <f t="shared" si="13"/>
        <v>18873</v>
      </c>
      <c r="AJ262" s="5"/>
      <c r="AK262" s="87"/>
      <c r="AL262" s="87"/>
      <c r="AM262" s="87"/>
    </row>
    <row r="263" spans="1:39" s="67" customFormat="1" ht="12" customHeight="1" x14ac:dyDescent="0.2">
      <c r="A263" s="1" t="s">
        <v>379</v>
      </c>
      <c r="B263" s="1"/>
      <c r="C263" s="1" t="s">
        <v>379</v>
      </c>
      <c r="D263" s="1"/>
      <c r="E263" s="48">
        <v>18518</v>
      </c>
      <c r="F263" s="48"/>
      <c r="G263" s="48">
        <v>0</v>
      </c>
      <c r="H263" s="48"/>
      <c r="I263" s="48">
        <v>0</v>
      </c>
      <c r="J263" s="48"/>
      <c r="K263" s="48">
        <v>0</v>
      </c>
      <c r="L263" s="48"/>
      <c r="M263" s="48">
        <v>0</v>
      </c>
      <c r="N263" s="48"/>
      <c r="O263" s="48">
        <v>60</v>
      </c>
      <c r="P263" s="48"/>
      <c r="Q263" s="48">
        <v>26</v>
      </c>
      <c r="R263" s="48"/>
      <c r="S263" s="48">
        <v>8957</v>
      </c>
      <c r="T263" s="48"/>
      <c r="U263" s="48">
        <v>0</v>
      </c>
      <c r="V263" s="48"/>
      <c r="W263" s="48">
        <v>0</v>
      </c>
      <c r="X263" s="48"/>
      <c r="Y263" s="48">
        <v>0</v>
      </c>
      <c r="Z263" s="48"/>
      <c r="AA263" s="48">
        <v>0</v>
      </c>
      <c r="AB263" s="48"/>
      <c r="AC263" s="48">
        <v>0</v>
      </c>
      <c r="AD263" s="48"/>
      <c r="AE263" s="48">
        <v>0</v>
      </c>
      <c r="AF263" s="48"/>
      <c r="AG263" s="48">
        <v>0</v>
      </c>
      <c r="AH263" s="19">
        <f t="shared" si="12"/>
        <v>27561</v>
      </c>
      <c r="AI263" s="48">
        <f t="shared" si="13"/>
        <v>27561</v>
      </c>
      <c r="AJ263" s="5"/>
      <c r="AK263" s="1"/>
      <c r="AL263" s="1"/>
      <c r="AM263" s="1"/>
    </row>
    <row r="264" spans="1:39" s="67" customFormat="1" ht="12" customHeight="1" x14ac:dyDescent="0.2">
      <c r="A264" s="1" t="s">
        <v>821</v>
      </c>
      <c r="B264" s="1"/>
      <c r="C264" s="1" t="s">
        <v>293</v>
      </c>
      <c r="D264" s="1"/>
      <c r="E264" s="48">
        <v>125009</v>
      </c>
      <c r="F264" s="48"/>
      <c r="G264" s="48">
        <v>3188987</v>
      </c>
      <c r="H264" s="48"/>
      <c r="I264" s="48">
        <v>37977</v>
      </c>
      <c r="J264" s="48"/>
      <c r="K264" s="48">
        <v>0</v>
      </c>
      <c r="L264" s="48"/>
      <c r="M264" s="48">
        <v>0</v>
      </c>
      <c r="N264" s="48"/>
      <c r="O264" s="48">
        <v>186602</v>
      </c>
      <c r="P264" s="48"/>
      <c r="Q264" s="48">
        <v>48</v>
      </c>
      <c r="R264" s="48"/>
      <c r="S264" s="48">
        <v>18269</v>
      </c>
      <c r="T264" s="48"/>
      <c r="U264" s="48">
        <v>0</v>
      </c>
      <c r="V264" s="48"/>
      <c r="W264" s="48">
        <v>0</v>
      </c>
      <c r="X264" s="48"/>
      <c r="Y264" s="48">
        <v>8530</v>
      </c>
      <c r="Z264" s="48"/>
      <c r="AA264" s="48">
        <v>340000</v>
      </c>
      <c r="AB264" s="48"/>
      <c r="AC264" s="48">
        <v>0</v>
      </c>
      <c r="AD264" s="48"/>
      <c r="AE264" s="48">
        <v>0</v>
      </c>
      <c r="AF264" s="48"/>
      <c r="AG264" s="48">
        <v>0</v>
      </c>
      <c r="AH264" s="19">
        <f t="shared" si="12"/>
        <v>3905422</v>
      </c>
      <c r="AI264" s="48">
        <f t="shared" si="13"/>
        <v>3905422</v>
      </c>
      <c r="AJ264" s="5"/>
      <c r="AK264" s="87"/>
      <c r="AL264" s="87"/>
      <c r="AM264" s="87"/>
    </row>
    <row r="265" spans="1:39" ht="12" customHeight="1" x14ac:dyDescent="0.2">
      <c r="A265" s="1" t="s">
        <v>210</v>
      </c>
      <c r="C265" s="1" t="s">
        <v>502</v>
      </c>
      <c r="E265" s="48">
        <v>0</v>
      </c>
      <c r="F265" s="48"/>
      <c r="G265" s="48">
        <v>0</v>
      </c>
      <c r="H265" s="48"/>
      <c r="I265" s="48">
        <v>81271.73</v>
      </c>
      <c r="J265" s="48"/>
      <c r="K265" s="48">
        <v>0</v>
      </c>
      <c r="L265" s="48"/>
      <c r="M265" s="48">
        <v>0</v>
      </c>
      <c r="N265" s="48"/>
      <c r="O265" s="48">
        <v>0</v>
      </c>
      <c r="P265" s="48"/>
      <c r="Q265" s="48">
        <v>3951.16</v>
      </c>
      <c r="R265" s="48"/>
      <c r="S265" s="48">
        <v>3812.17</v>
      </c>
      <c r="T265" s="48"/>
      <c r="U265" s="48">
        <v>0</v>
      </c>
      <c r="V265" s="48"/>
      <c r="W265" s="48">
        <v>0</v>
      </c>
      <c r="X265" s="48"/>
      <c r="Y265" s="48">
        <v>0</v>
      </c>
      <c r="Z265" s="48"/>
      <c r="AA265" s="48">
        <v>0</v>
      </c>
      <c r="AB265" s="48"/>
      <c r="AC265" s="48">
        <v>0</v>
      </c>
      <c r="AD265" s="48"/>
      <c r="AE265" s="48">
        <v>0</v>
      </c>
      <c r="AF265" s="48"/>
      <c r="AG265" s="48">
        <v>0</v>
      </c>
      <c r="AH265" s="19">
        <f t="shared" si="12"/>
        <v>89035.06</v>
      </c>
      <c r="AI265" s="48">
        <f t="shared" si="13"/>
        <v>89035.06</v>
      </c>
      <c r="AJ265" s="5"/>
    </row>
    <row r="266" spans="1:39" ht="12" customHeight="1" x14ac:dyDescent="0.2">
      <c r="A266" s="1" t="s">
        <v>179</v>
      </c>
      <c r="C266" s="1" t="s">
        <v>241</v>
      </c>
      <c r="E266" s="48">
        <v>56109.88</v>
      </c>
      <c r="F266" s="48"/>
      <c r="G266" s="48">
        <v>421880.01</v>
      </c>
      <c r="H266" s="48"/>
      <c r="I266" s="48">
        <v>65991.69</v>
      </c>
      <c r="J266" s="48"/>
      <c r="K266" s="48">
        <v>0</v>
      </c>
      <c r="L266" s="48"/>
      <c r="M266" s="48">
        <v>181485.16</v>
      </c>
      <c r="N266" s="48"/>
      <c r="O266" s="48">
        <v>40881.33</v>
      </c>
      <c r="P266" s="48"/>
      <c r="Q266" s="48">
        <v>25740.68</v>
      </c>
      <c r="R266" s="48"/>
      <c r="S266" s="48">
        <v>45405</v>
      </c>
      <c r="T266" s="48"/>
      <c r="U266" s="48">
        <v>0</v>
      </c>
      <c r="V266" s="48"/>
      <c r="W266" s="48">
        <v>0</v>
      </c>
      <c r="X266" s="48"/>
      <c r="Y266" s="48">
        <v>0</v>
      </c>
      <c r="Z266" s="48"/>
      <c r="AA266" s="48">
        <v>0</v>
      </c>
      <c r="AB266" s="48"/>
      <c r="AC266" s="48">
        <v>31167.200000000001</v>
      </c>
      <c r="AD266" s="48"/>
      <c r="AE266" s="48">
        <v>0</v>
      </c>
      <c r="AF266" s="48"/>
      <c r="AG266" s="48">
        <v>0</v>
      </c>
      <c r="AH266" s="19">
        <f t="shared" si="12"/>
        <v>868660.95000000007</v>
      </c>
      <c r="AI266" s="48">
        <f t="shared" si="13"/>
        <v>868660.95000000007</v>
      </c>
      <c r="AJ266" s="5"/>
      <c r="AK266" s="67"/>
      <c r="AL266" s="67"/>
      <c r="AM266" s="67"/>
    </row>
    <row r="267" spans="1:39" ht="12" customHeight="1" x14ac:dyDescent="0.2">
      <c r="A267" s="1" t="s">
        <v>378</v>
      </c>
      <c r="C267" s="1" t="s">
        <v>377</v>
      </c>
      <c r="E267" s="48">
        <v>22499</v>
      </c>
      <c r="F267" s="48"/>
      <c r="G267" s="48">
        <v>134711</v>
      </c>
      <c r="H267" s="48"/>
      <c r="I267" s="48">
        <v>41514</v>
      </c>
      <c r="J267" s="48"/>
      <c r="K267" s="48">
        <v>0</v>
      </c>
      <c r="L267" s="48"/>
      <c r="M267" s="48">
        <v>0</v>
      </c>
      <c r="N267" s="48"/>
      <c r="O267" s="48">
        <v>1151</v>
      </c>
      <c r="P267" s="48"/>
      <c r="Q267" s="48">
        <v>1464</v>
      </c>
      <c r="R267" s="48"/>
      <c r="S267" s="48">
        <v>28917</v>
      </c>
      <c r="T267" s="48"/>
      <c r="U267" s="48">
        <v>0</v>
      </c>
      <c r="V267" s="48"/>
      <c r="W267" s="48">
        <v>0</v>
      </c>
      <c r="X267" s="48"/>
      <c r="Y267" s="48">
        <v>0</v>
      </c>
      <c r="Z267" s="48"/>
      <c r="AA267" s="48">
        <v>0</v>
      </c>
      <c r="AB267" s="48"/>
      <c r="AC267" s="48">
        <v>0</v>
      </c>
      <c r="AD267" s="48"/>
      <c r="AE267" s="48">
        <v>0</v>
      </c>
      <c r="AF267" s="48"/>
      <c r="AG267" s="48">
        <v>0</v>
      </c>
      <c r="AH267" s="19">
        <f t="shared" si="12"/>
        <v>230256</v>
      </c>
      <c r="AI267" s="48">
        <f t="shared" si="13"/>
        <v>230256</v>
      </c>
      <c r="AJ267" s="5"/>
    </row>
    <row r="268" spans="1:39" ht="12" customHeight="1" x14ac:dyDescent="0.2">
      <c r="A268" s="1" t="s">
        <v>249</v>
      </c>
      <c r="C268" s="1" t="s">
        <v>554</v>
      </c>
      <c r="E268" s="48">
        <v>388738.13</v>
      </c>
      <c r="F268" s="48"/>
      <c r="G268" s="48">
        <v>0</v>
      </c>
      <c r="H268" s="48"/>
      <c r="I268" s="48">
        <v>17059.52</v>
      </c>
      <c r="J268" s="48"/>
      <c r="K268" s="48">
        <v>0</v>
      </c>
      <c r="L268" s="48"/>
      <c r="M268" s="48">
        <v>600</v>
      </c>
      <c r="N268" s="48"/>
      <c r="O268" s="48">
        <v>0</v>
      </c>
      <c r="P268" s="48"/>
      <c r="Q268" s="48">
        <v>2590.88</v>
      </c>
      <c r="R268" s="48"/>
      <c r="S268" s="48">
        <v>546.34</v>
      </c>
      <c r="T268" s="48"/>
      <c r="U268" s="48">
        <v>0</v>
      </c>
      <c r="V268" s="48"/>
      <c r="W268" s="48">
        <v>0</v>
      </c>
      <c r="X268" s="48"/>
      <c r="Y268" s="48">
        <v>0</v>
      </c>
      <c r="Z268" s="48"/>
      <c r="AA268" s="48">
        <v>0</v>
      </c>
      <c r="AB268" s="48"/>
      <c r="AC268" s="48">
        <v>0</v>
      </c>
      <c r="AD268" s="48"/>
      <c r="AE268" s="48">
        <v>0</v>
      </c>
      <c r="AF268" s="48"/>
      <c r="AG268" s="48">
        <v>0</v>
      </c>
      <c r="AH268" s="19">
        <f t="shared" si="12"/>
        <v>409534.87000000005</v>
      </c>
      <c r="AI268" s="48">
        <f t="shared" si="13"/>
        <v>409534.87000000005</v>
      </c>
      <c r="AJ268" s="5"/>
    </row>
    <row r="269" spans="1:39" s="67" customFormat="1" ht="12" customHeight="1" x14ac:dyDescent="0.2">
      <c r="A269" s="1" t="s">
        <v>422</v>
      </c>
      <c r="B269" s="1"/>
      <c r="C269" s="1" t="s">
        <v>423</v>
      </c>
      <c r="D269" s="1"/>
      <c r="E269" s="48">
        <v>40439</v>
      </c>
      <c r="F269" s="48"/>
      <c r="G269" s="48">
        <v>2274773</v>
      </c>
      <c r="H269" s="48"/>
      <c r="I269" s="48">
        <v>53689</v>
      </c>
      <c r="J269" s="48"/>
      <c r="K269" s="48">
        <v>6791</v>
      </c>
      <c r="L269" s="48"/>
      <c r="M269" s="48">
        <v>94246</v>
      </c>
      <c r="N269" s="48"/>
      <c r="O269" s="48">
        <v>16796</v>
      </c>
      <c r="P269" s="48"/>
      <c r="Q269" s="48">
        <v>28398</v>
      </c>
      <c r="R269" s="48"/>
      <c r="S269" s="48">
        <v>181233</v>
      </c>
      <c r="T269" s="48"/>
      <c r="U269" s="48">
        <v>0</v>
      </c>
      <c r="V269" s="48"/>
      <c r="W269" s="48">
        <v>0</v>
      </c>
      <c r="X269" s="48"/>
      <c r="Y269" s="48">
        <v>0</v>
      </c>
      <c r="Z269" s="48"/>
      <c r="AA269" s="48">
        <v>29398</v>
      </c>
      <c r="AB269" s="48"/>
      <c r="AC269" s="48">
        <v>0</v>
      </c>
      <c r="AD269" s="48"/>
      <c r="AE269" s="48">
        <v>0</v>
      </c>
      <c r="AF269" s="48"/>
      <c r="AG269" s="48">
        <v>0</v>
      </c>
      <c r="AH269" s="19">
        <f t="shared" si="12"/>
        <v>2725763</v>
      </c>
      <c r="AI269" s="48">
        <f t="shared" si="13"/>
        <v>2725763</v>
      </c>
      <c r="AJ269" s="5"/>
      <c r="AK269" s="1"/>
      <c r="AL269" s="1"/>
      <c r="AM269" s="1"/>
    </row>
    <row r="270" spans="1:39" ht="12" customHeight="1" x14ac:dyDescent="0.2">
      <c r="A270" s="1" t="s">
        <v>309</v>
      </c>
      <c r="C270" s="1" t="s">
        <v>306</v>
      </c>
      <c r="E270" s="48">
        <v>12880</v>
      </c>
      <c r="F270" s="48"/>
      <c r="G270" s="48">
        <v>0</v>
      </c>
      <c r="H270" s="48"/>
      <c r="I270" s="48">
        <v>22701</v>
      </c>
      <c r="J270" s="48"/>
      <c r="K270" s="48">
        <v>0</v>
      </c>
      <c r="L270" s="48"/>
      <c r="M270" s="48">
        <v>0</v>
      </c>
      <c r="N270" s="48"/>
      <c r="O270" s="48">
        <v>0</v>
      </c>
      <c r="P270" s="48"/>
      <c r="Q270" s="48">
        <v>1</v>
      </c>
      <c r="R270" s="48"/>
      <c r="S270" s="48">
        <v>19198</v>
      </c>
      <c r="T270" s="48"/>
      <c r="U270" s="48">
        <v>0</v>
      </c>
      <c r="V270" s="48"/>
      <c r="W270" s="48">
        <v>0</v>
      </c>
      <c r="X270" s="48"/>
      <c r="Y270" s="48">
        <v>0</v>
      </c>
      <c r="Z270" s="48"/>
      <c r="AA270" s="48">
        <v>0</v>
      </c>
      <c r="AB270" s="48"/>
      <c r="AC270" s="48">
        <v>0</v>
      </c>
      <c r="AD270" s="48"/>
      <c r="AE270" s="48">
        <v>0</v>
      </c>
      <c r="AF270" s="48"/>
      <c r="AG270" s="48">
        <v>0</v>
      </c>
      <c r="AH270" s="19">
        <f t="shared" si="12"/>
        <v>54780</v>
      </c>
      <c r="AI270" s="48">
        <f t="shared" si="13"/>
        <v>54780</v>
      </c>
      <c r="AJ270" s="5"/>
      <c r="AK270" s="87"/>
      <c r="AL270" s="87"/>
      <c r="AM270" s="87"/>
    </row>
    <row r="271" spans="1:39" ht="12" customHeight="1" x14ac:dyDescent="0.2">
      <c r="A271" s="1" t="s">
        <v>17</v>
      </c>
      <c r="C271" s="1" t="s">
        <v>261</v>
      </c>
      <c r="E271" s="48">
        <v>14437.04</v>
      </c>
      <c r="F271" s="48"/>
      <c r="G271" s="48">
        <v>0</v>
      </c>
      <c r="H271" s="48"/>
      <c r="I271" s="48">
        <v>18611.04</v>
      </c>
      <c r="J271" s="48"/>
      <c r="K271" s="48">
        <v>0</v>
      </c>
      <c r="L271" s="48"/>
      <c r="M271" s="48">
        <v>0</v>
      </c>
      <c r="N271" s="48"/>
      <c r="O271" s="48">
        <v>14</v>
      </c>
      <c r="P271" s="48"/>
      <c r="Q271" s="48">
        <v>603.41</v>
      </c>
      <c r="R271" s="48"/>
      <c r="S271" s="48">
        <v>350.39</v>
      </c>
      <c r="T271" s="48"/>
      <c r="U271" s="48">
        <v>0</v>
      </c>
      <c r="V271" s="48"/>
      <c r="W271" s="48">
        <v>0</v>
      </c>
      <c r="X271" s="48"/>
      <c r="Y271" s="48">
        <v>0</v>
      </c>
      <c r="Z271" s="48"/>
      <c r="AA271" s="48">
        <v>0</v>
      </c>
      <c r="AB271" s="48"/>
      <c r="AC271" s="48">
        <v>0</v>
      </c>
      <c r="AD271" s="48"/>
      <c r="AE271" s="48">
        <v>6544.56</v>
      </c>
      <c r="AF271" s="48"/>
      <c r="AG271" s="48">
        <v>0</v>
      </c>
      <c r="AH271" s="19">
        <f t="shared" si="12"/>
        <v>40560.44</v>
      </c>
      <c r="AI271" s="48">
        <f t="shared" si="13"/>
        <v>40560.44</v>
      </c>
      <c r="AJ271" s="17"/>
      <c r="AK271" s="17"/>
      <c r="AL271" s="17"/>
      <c r="AM271" s="17"/>
    </row>
    <row r="272" spans="1:39" ht="12" customHeight="1" x14ac:dyDescent="0.2">
      <c r="A272" s="1" t="s">
        <v>383</v>
      </c>
      <c r="C272" s="1" t="s">
        <v>382</v>
      </c>
      <c r="E272" s="48">
        <v>12400.67</v>
      </c>
      <c r="F272" s="48"/>
      <c r="G272" s="48">
        <v>0</v>
      </c>
      <c r="H272" s="48"/>
      <c r="I272" s="48">
        <v>19889.64</v>
      </c>
      <c r="J272" s="48"/>
      <c r="K272" s="48">
        <v>0</v>
      </c>
      <c r="L272" s="48"/>
      <c r="M272" s="48">
        <v>0</v>
      </c>
      <c r="N272" s="48"/>
      <c r="O272" s="48">
        <v>0</v>
      </c>
      <c r="P272" s="48"/>
      <c r="Q272" s="48">
        <v>60.34</v>
      </c>
      <c r="R272" s="48"/>
      <c r="S272" s="48">
        <v>0</v>
      </c>
      <c r="T272" s="48"/>
      <c r="U272" s="48">
        <v>0</v>
      </c>
      <c r="V272" s="48"/>
      <c r="W272" s="48">
        <v>0</v>
      </c>
      <c r="X272" s="48"/>
      <c r="Y272" s="48">
        <v>0</v>
      </c>
      <c r="Z272" s="48"/>
      <c r="AA272" s="48">
        <v>0</v>
      </c>
      <c r="AB272" s="48"/>
      <c r="AC272" s="48">
        <v>0</v>
      </c>
      <c r="AD272" s="48"/>
      <c r="AE272" s="48">
        <v>0</v>
      </c>
      <c r="AF272" s="48"/>
      <c r="AG272" s="48">
        <v>0</v>
      </c>
      <c r="AH272" s="19">
        <f t="shared" si="12"/>
        <v>32350.649999999998</v>
      </c>
      <c r="AI272" s="48">
        <f t="shared" si="13"/>
        <v>32350.649999999998</v>
      </c>
      <c r="AJ272" s="8"/>
      <c r="AK272" s="6"/>
      <c r="AL272" s="6"/>
      <c r="AM272" s="6"/>
    </row>
    <row r="273" spans="1:39" ht="12" customHeight="1" x14ac:dyDescent="0.2">
      <c r="A273" s="1" t="s">
        <v>96</v>
      </c>
      <c r="C273" s="1" t="s">
        <v>373</v>
      </c>
      <c r="E273" s="48">
        <v>52786.54</v>
      </c>
      <c r="F273" s="48"/>
      <c r="G273" s="48">
        <v>134586.98000000001</v>
      </c>
      <c r="H273" s="48"/>
      <c r="I273" s="48">
        <v>21970.3</v>
      </c>
      <c r="J273" s="48"/>
      <c r="K273" s="48">
        <v>0</v>
      </c>
      <c r="L273" s="48"/>
      <c r="M273" s="48">
        <v>0</v>
      </c>
      <c r="N273" s="48"/>
      <c r="O273" s="48">
        <v>5791.5</v>
      </c>
      <c r="P273" s="48"/>
      <c r="Q273" s="48">
        <v>205.9</v>
      </c>
      <c r="R273" s="48"/>
      <c r="S273" s="48">
        <v>17574.490000000002</v>
      </c>
      <c r="T273" s="48"/>
      <c r="U273" s="48">
        <v>0</v>
      </c>
      <c r="V273" s="48"/>
      <c r="W273" s="48">
        <v>0</v>
      </c>
      <c r="X273" s="48"/>
      <c r="Y273" s="48">
        <v>0</v>
      </c>
      <c r="Z273" s="48"/>
      <c r="AA273" s="48">
        <v>0</v>
      </c>
      <c r="AB273" s="48"/>
      <c r="AC273" s="48">
        <v>0</v>
      </c>
      <c r="AD273" s="48"/>
      <c r="AE273" s="48">
        <v>0</v>
      </c>
      <c r="AF273" s="48"/>
      <c r="AG273" s="48">
        <v>0</v>
      </c>
      <c r="AH273" s="19">
        <f t="shared" si="12"/>
        <v>232915.71</v>
      </c>
      <c r="AI273" s="48">
        <f t="shared" si="13"/>
        <v>232915.71</v>
      </c>
      <c r="AJ273" s="5"/>
      <c r="AK273" s="4"/>
      <c r="AL273" s="4"/>
      <c r="AM273" s="4"/>
    </row>
    <row r="274" spans="1:39" ht="12" customHeight="1" x14ac:dyDescent="0.2"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19"/>
      <c r="AI274" s="48"/>
      <c r="AJ274" s="5"/>
      <c r="AK274" s="4"/>
      <c r="AL274" s="4"/>
      <c r="AM274" s="4"/>
    </row>
    <row r="275" spans="1:39" ht="12" customHeight="1" x14ac:dyDescent="0.2"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19"/>
      <c r="AI275" s="88" t="s">
        <v>733</v>
      </c>
      <c r="AJ275" s="5"/>
      <c r="AK275" s="4"/>
      <c r="AL275" s="4"/>
      <c r="AM275" s="4"/>
    </row>
    <row r="276" spans="1:39" ht="12" customHeight="1" x14ac:dyDescent="0.2"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19"/>
      <c r="AI276" s="48"/>
      <c r="AJ276" s="5"/>
      <c r="AK276" s="4"/>
      <c r="AL276" s="4"/>
      <c r="AM276" s="4"/>
    </row>
    <row r="277" spans="1:39" ht="12" customHeight="1" x14ac:dyDescent="0.2">
      <c r="A277" s="1" t="s">
        <v>239</v>
      </c>
      <c r="C277" s="1" t="s">
        <v>558</v>
      </c>
      <c r="E277" s="68">
        <v>14731</v>
      </c>
      <c r="F277" s="48"/>
      <c r="G277" s="68">
        <v>0</v>
      </c>
      <c r="H277" s="68"/>
      <c r="I277" s="68">
        <v>9125.99</v>
      </c>
      <c r="J277" s="68"/>
      <c r="K277" s="68">
        <v>0</v>
      </c>
      <c r="L277" s="68"/>
      <c r="M277" s="68">
        <v>8209.99</v>
      </c>
      <c r="N277" s="68"/>
      <c r="O277" s="68">
        <v>0</v>
      </c>
      <c r="P277" s="68"/>
      <c r="Q277" s="68">
        <v>87.27</v>
      </c>
      <c r="R277" s="68"/>
      <c r="S277" s="68">
        <v>0</v>
      </c>
      <c r="T277" s="68"/>
      <c r="U277" s="68">
        <v>0</v>
      </c>
      <c r="V277" s="68"/>
      <c r="W277" s="68">
        <v>0</v>
      </c>
      <c r="X277" s="68"/>
      <c r="Y277" s="68">
        <v>0</v>
      </c>
      <c r="Z277" s="68"/>
      <c r="AA277" s="68">
        <v>0</v>
      </c>
      <c r="AB277" s="68"/>
      <c r="AC277" s="68">
        <v>0</v>
      </c>
      <c r="AD277" s="68"/>
      <c r="AE277" s="68">
        <v>0</v>
      </c>
      <c r="AF277" s="68"/>
      <c r="AG277" s="68">
        <v>0</v>
      </c>
      <c r="AH277" s="68">
        <f t="shared" ref="AH277:AH312" si="14">SUM(D277:AF277)</f>
        <v>32154.249999999996</v>
      </c>
      <c r="AI277" s="68">
        <f t="shared" ref="AI277:AI313" si="15">SUM(E277:AG277)</f>
        <v>32154.249999999996</v>
      </c>
      <c r="AJ277" s="5"/>
      <c r="AK277" s="4"/>
      <c r="AL277" s="4"/>
      <c r="AM277" s="4"/>
    </row>
    <row r="278" spans="1:39" s="6" customFormat="1" ht="12" customHeight="1" x14ac:dyDescent="0.2">
      <c r="A278" s="1" t="s">
        <v>298</v>
      </c>
      <c r="B278" s="1"/>
      <c r="C278" s="1" t="s">
        <v>293</v>
      </c>
      <c r="D278" s="1"/>
      <c r="E278" s="48">
        <v>634477</v>
      </c>
      <c r="F278" s="48"/>
      <c r="G278" s="48">
        <v>0</v>
      </c>
      <c r="H278" s="48"/>
      <c r="I278" s="48">
        <v>1450136</v>
      </c>
      <c r="J278" s="48"/>
      <c r="K278" s="48">
        <v>0</v>
      </c>
      <c r="L278" s="48"/>
      <c r="M278" s="48">
        <v>60033</v>
      </c>
      <c r="N278" s="48"/>
      <c r="O278" s="48">
        <v>129289</v>
      </c>
      <c r="P278" s="48"/>
      <c r="Q278" s="48">
        <v>255545</v>
      </c>
      <c r="R278" s="48"/>
      <c r="S278" s="48">
        <v>394615</v>
      </c>
      <c r="T278" s="48"/>
      <c r="U278" s="48">
        <v>0</v>
      </c>
      <c r="V278" s="48"/>
      <c r="W278" s="48">
        <v>0</v>
      </c>
      <c r="X278" s="48"/>
      <c r="Y278" s="48">
        <v>0</v>
      </c>
      <c r="Z278" s="48"/>
      <c r="AA278" s="48">
        <v>0</v>
      </c>
      <c r="AB278" s="48"/>
      <c r="AC278" s="48">
        <v>0</v>
      </c>
      <c r="AD278" s="48"/>
      <c r="AE278" s="48">
        <v>0</v>
      </c>
      <c r="AF278" s="48"/>
      <c r="AG278" s="48">
        <v>0</v>
      </c>
      <c r="AH278" s="19">
        <f t="shared" si="14"/>
        <v>2924095</v>
      </c>
      <c r="AI278" s="48">
        <f t="shared" si="15"/>
        <v>2924095</v>
      </c>
      <c r="AJ278" s="5"/>
      <c r="AK278" s="67"/>
      <c r="AL278" s="67"/>
      <c r="AM278" s="67"/>
    </row>
    <row r="279" spans="1:39" s="6" customFormat="1" ht="12" customHeight="1" x14ac:dyDescent="0.2">
      <c r="A279" s="1" t="s">
        <v>124</v>
      </c>
      <c r="B279" s="1"/>
      <c r="C279" s="1" t="s">
        <v>414</v>
      </c>
      <c r="D279" s="1"/>
      <c r="E279" s="48">
        <v>9888.52</v>
      </c>
      <c r="F279" s="48"/>
      <c r="G279" s="48">
        <v>57087.16</v>
      </c>
      <c r="H279" s="48"/>
      <c r="I279" s="48">
        <v>8001.97</v>
      </c>
      <c r="J279" s="48"/>
      <c r="K279" s="48">
        <v>0</v>
      </c>
      <c r="L279" s="48"/>
      <c r="M279" s="48">
        <v>40000</v>
      </c>
      <c r="N279" s="48"/>
      <c r="O279" s="48">
        <v>2141.5500000000002</v>
      </c>
      <c r="P279" s="48"/>
      <c r="Q279" s="48">
        <v>3077.85</v>
      </c>
      <c r="R279" s="48"/>
      <c r="S279" s="48">
        <v>6654.17</v>
      </c>
      <c r="T279" s="48"/>
      <c r="U279" s="48">
        <v>0</v>
      </c>
      <c r="V279" s="48"/>
      <c r="W279" s="48">
        <v>0</v>
      </c>
      <c r="X279" s="48"/>
      <c r="Y279" s="48">
        <v>0</v>
      </c>
      <c r="Z279" s="48"/>
      <c r="AA279" s="48">
        <v>0</v>
      </c>
      <c r="AB279" s="48"/>
      <c r="AC279" s="48">
        <v>0</v>
      </c>
      <c r="AD279" s="48"/>
      <c r="AE279" s="48">
        <v>0</v>
      </c>
      <c r="AF279" s="48"/>
      <c r="AG279" s="48">
        <v>0</v>
      </c>
      <c r="AH279" s="19">
        <f t="shared" si="14"/>
        <v>126851.22000000002</v>
      </c>
      <c r="AI279" s="48">
        <f t="shared" si="15"/>
        <v>126851.22000000002</v>
      </c>
      <c r="AJ279" s="5"/>
      <c r="AK279" s="67"/>
      <c r="AL279" s="67"/>
      <c r="AM279" s="67"/>
    </row>
    <row r="280" spans="1:39" ht="12" customHeight="1" x14ac:dyDescent="0.2">
      <c r="A280" s="1" t="s">
        <v>112</v>
      </c>
      <c r="C280" s="1" t="s">
        <v>390</v>
      </c>
      <c r="E280" s="48">
        <v>25844.53</v>
      </c>
      <c r="F280" s="48"/>
      <c r="G280" s="48">
        <v>0</v>
      </c>
      <c r="H280" s="48"/>
      <c r="I280" s="48">
        <v>36280.83</v>
      </c>
      <c r="J280" s="48"/>
      <c r="K280" s="48">
        <v>0</v>
      </c>
      <c r="L280" s="48"/>
      <c r="M280" s="48">
        <v>0</v>
      </c>
      <c r="N280" s="48"/>
      <c r="O280" s="48">
        <v>25</v>
      </c>
      <c r="P280" s="48"/>
      <c r="Q280" s="48">
        <v>8.5299999999999994</v>
      </c>
      <c r="R280" s="48"/>
      <c r="S280" s="48">
        <v>10355.09</v>
      </c>
      <c r="T280" s="48"/>
      <c r="U280" s="48">
        <v>0</v>
      </c>
      <c r="V280" s="48"/>
      <c r="W280" s="48">
        <v>0</v>
      </c>
      <c r="X280" s="48"/>
      <c r="Y280" s="48">
        <v>0</v>
      </c>
      <c r="Z280" s="48"/>
      <c r="AA280" s="48">
        <v>0</v>
      </c>
      <c r="AB280" s="48"/>
      <c r="AC280" s="48">
        <v>0</v>
      </c>
      <c r="AD280" s="48"/>
      <c r="AE280" s="48">
        <v>0</v>
      </c>
      <c r="AF280" s="48"/>
      <c r="AG280" s="48">
        <v>0</v>
      </c>
      <c r="AH280" s="19">
        <f t="shared" si="14"/>
        <v>72513.98</v>
      </c>
      <c r="AI280" s="48">
        <f t="shared" si="15"/>
        <v>72513.98</v>
      </c>
      <c r="AJ280" s="5"/>
    </row>
    <row r="281" spans="1:39" ht="12" customHeight="1" x14ac:dyDescent="0.2">
      <c r="A281" s="6" t="s">
        <v>637</v>
      </c>
      <c r="B281" s="6"/>
      <c r="C281" s="6" t="s">
        <v>306</v>
      </c>
      <c r="D281" s="6"/>
      <c r="E281" s="48">
        <v>11081</v>
      </c>
      <c r="F281" s="48"/>
      <c r="G281" s="48">
        <v>0</v>
      </c>
      <c r="H281" s="48"/>
      <c r="I281" s="48">
        <v>797</v>
      </c>
      <c r="J281" s="48"/>
      <c r="K281" s="48">
        <v>0</v>
      </c>
      <c r="L281" s="48"/>
      <c r="M281" s="48">
        <v>0</v>
      </c>
      <c r="N281" s="48"/>
      <c r="O281" s="48">
        <v>0</v>
      </c>
      <c r="P281" s="48"/>
      <c r="Q281" s="48">
        <v>65</v>
      </c>
      <c r="R281" s="48"/>
      <c r="S281" s="48">
        <v>40</v>
      </c>
      <c r="T281" s="48"/>
      <c r="U281" s="48">
        <v>0</v>
      </c>
      <c r="V281" s="48"/>
      <c r="W281" s="48">
        <v>0</v>
      </c>
      <c r="X281" s="48"/>
      <c r="Y281" s="48">
        <v>0</v>
      </c>
      <c r="Z281" s="48"/>
      <c r="AA281" s="48">
        <v>0</v>
      </c>
      <c r="AB281" s="48"/>
      <c r="AC281" s="48">
        <v>0</v>
      </c>
      <c r="AD281" s="48"/>
      <c r="AE281" s="48">
        <v>0</v>
      </c>
      <c r="AF281" s="48"/>
      <c r="AG281" s="48">
        <v>0</v>
      </c>
      <c r="AH281" s="19">
        <f t="shared" si="14"/>
        <v>11983</v>
      </c>
      <c r="AI281" s="48">
        <f t="shared" si="15"/>
        <v>11983</v>
      </c>
      <c r="AJ281" s="17"/>
      <c r="AK281" s="20"/>
      <c r="AL281" s="20"/>
      <c r="AM281" s="20"/>
    </row>
    <row r="282" spans="1:39" ht="12" customHeight="1" x14ac:dyDescent="0.2">
      <c r="A282" s="1" t="s">
        <v>208</v>
      </c>
      <c r="C282" s="1" t="s">
        <v>498</v>
      </c>
      <c r="E282" s="48">
        <v>138372.17000000001</v>
      </c>
      <c r="F282" s="48"/>
      <c r="G282" s="48">
        <v>126.87</v>
      </c>
      <c r="H282" s="48"/>
      <c r="I282" s="48">
        <v>50973.68</v>
      </c>
      <c r="J282" s="48"/>
      <c r="K282" s="48">
        <v>0</v>
      </c>
      <c r="L282" s="48"/>
      <c r="M282" s="48">
        <v>42778.55</v>
      </c>
      <c r="N282" s="48"/>
      <c r="O282" s="48">
        <v>31987.58</v>
      </c>
      <c r="P282" s="48"/>
      <c r="Q282" s="48">
        <v>2279.1999999999998</v>
      </c>
      <c r="R282" s="48"/>
      <c r="S282" s="48">
        <v>1600.82</v>
      </c>
      <c r="T282" s="48"/>
      <c r="U282" s="48">
        <v>0</v>
      </c>
      <c r="V282" s="48"/>
      <c r="W282" s="48">
        <v>0</v>
      </c>
      <c r="X282" s="48"/>
      <c r="Y282" s="48">
        <v>0</v>
      </c>
      <c r="Z282" s="48"/>
      <c r="AA282" s="48">
        <v>36.17</v>
      </c>
      <c r="AB282" s="48"/>
      <c r="AC282" s="48">
        <v>0</v>
      </c>
      <c r="AD282" s="48"/>
      <c r="AE282" s="48">
        <v>0</v>
      </c>
      <c r="AF282" s="48"/>
      <c r="AG282" s="48">
        <v>0</v>
      </c>
      <c r="AH282" s="19">
        <f t="shared" si="14"/>
        <v>268155.04000000004</v>
      </c>
      <c r="AI282" s="48">
        <f t="shared" si="15"/>
        <v>268155.04000000004</v>
      </c>
      <c r="AJ282" s="5"/>
      <c r="AK282" s="67"/>
      <c r="AL282" s="67"/>
      <c r="AM282" s="67"/>
    </row>
    <row r="283" spans="1:39" ht="12" hidden="1" customHeight="1" x14ac:dyDescent="0.2">
      <c r="A283" s="1" t="s">
        <v>830</v>
      </c>
      <c r="C283" s="1" t="s">
        <v>253</v>
      </c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19"/>
      <c r="AI283" s="48">
        <f t="shared" si="15"/>
        <v>0</v>
      </c>
      <c r="AJ283" s="5"/>
      <c r="AK283" s="67"/>
      <c r="AL283" s="67"/>
      <c r="AM283" s="67"/>
    </row>
    <row r="284" spans="1:39" s="67" customFormat="1" ht="12" customHeight="1" x14ac:dyDescent="0.2">
      <c r="A284" s="1" t="s">
        <v>79</v>
      </c>
      <c r="B284" s="1"/>
      <c r="C284" s="1" t="s">
        <v>345</v>
      </c>
      <c r="D284" s="1"/>
      <c r="E284" s="48">
        <v>94418.59</v>
      </c>
      <c r="F284" s="48"/>
      <c r="G284" s="48">
        <v>184883.1</v>
      </c>
      <c r="H284" s="48"/>
      <c r="I284" s="48">
        <v>48508.51</v>
      </c>
      <c r="J284" s="48"/>
      <c r="K284" s="48">
        <v>0</v>
      </c>
      <c r="L284" s="48"/>
      <c r="M284" s="48">
        <v>4.5999999999999996</v>
      </c>
      <c r="N284" s="48"/>
      <c r="O284" s="48">
        <v>39252.089999999997</v>
      </c>
      <c r="P284" s="48"/>
      <c r="Q284" s="48">
        <v>750.79</v>
      </c>
      <c r="R284" s="48"/>
      <c r="S284" s="48">
        <v>0</v>
      </c>
      <c r="T284" s="48"/>
      <c r="U284" s="48">
        <v>0</v>
      </c>
      <c r="V284" s="48"/>
      <c r="W284" s="48">
        <v>0</v>
      </c>
      <c r="X284" s="48"/>
      <c r="Y284" s="48">
        <v>0</v>
      </c>
      <c r="Z284" s="48"/>
      <c r="AA284" s="48">
        <v>0</v>
      </c>
      <c r="AB284" s="48"/>
      <c r="AC284" s="48">
        <v>0</v>
      </c>
      <c r="AD284" s="48"/>
      <c r="AE284" s="48">
        <v>400.2</v>
      </c>
      <c r="AF284" s="48"/>
      <c r="AG284" s="48">
        <v>0</v>
      </c>
      <c r="AH284" s="19">
        <f t="shared" si="14"/>
        <v>368217.88</v>
      </c>
      <c r="AI284" s="48">
        <f t="shared" si="15"/>
        <v>368217.88</v>
      </c>
      <c r="AJ284" s="5"/>
      <c r="AK284" s="87"/>
      <c r="AL284" s="87"/>
      <c r="AM284" s="87"/>
    </row>
    <row r="285" spans="1:39" ht="12" customHeight="1" x14ac:dyDescent="0.2">
      <c r="A285" s="1" t="s">
        <v>638</v>
      </c>
      <c r="C285" s="1" t="s">
        <v>624</v>
      </c>
      <c r="E285" s="48">
        <v>639832</v>
      </c>
      <c r="F285" s="48"/>
      <c r="G285" s="48">
        <v>0</v>
      </c>
      <c r="H285" s="48"/>
      <c r="I285" s="48">
        <v>66467</v>
      </c>
      <c r="J285" s="48"/>
      <c r="K285" s="48">
        <v>0</v>
      </c>
      <c r="L285" s="48"/>
      <c r="M285" s="48">
        <v>72</v>
      </c>
      <c r="N285" s="48"/>
      <c r="O285" s="48">
        <v>39023</v>
      </c>
      <c r="P285" s="48"/>
      <c r="Q285" s="48">
        <v>949</v>
      </c>
      <c r="R285" s="48"/>
      <c r="S285" s="48">
        <v>47042</v>
      </c>
      <c r="T285" s="48"/>
      <c r="U285" s="48">
        <v>0</v>
      </c>
      <c r="V285" s="48"/>
      <c r="W285" s="48">
        <v>0</v>
      </c>
      <c r="X285" s="48"/>
      <c r="Y285" s="48">
        <v>0</v>
      </c>
      <c r="Z285" s="48"/>
      <c r="AA285" s="48">
        <v>20000</v>
      </c>
      <c r="AB285" s="48"/>
      <c r="AC285" s="48">
        <v>0</v>
      </c>
      <c r="AD285" s="48"/>
      <c r="AE285" s="48">
        <v>0</v>
      </c>
      <c r="AF285" s="48"/>
      <c r="AG285" s="48">
        <v>0</v>
      </c>
      <c r="AH285" s="19">
        <f t="shared" si="14"/>
        <v>813385</v>
      </c>
      <c r="AI285" s="48">
        <f t="shared" si="15"/>
        <v>813385</v>
      </c>
      <c r="AJ285" s="5"/>
    </row>
    <row r="286" spans="1:39" ht="12" customHeight="1" x14ac:dyDescent="0.2">
      <c r="A286" s="1" t="s">
        <v>64</v>
      </c>
      <c r="C286" s="1" t="s">
        <v>334</v>
      </c>
      <c r="E286" s="48">
        <v>136847.94</v>
      </c>
      <c r="F286" s="48"/>
      <c r="G286" s="48">
        <v>223304.24</v>
      </c>
      <c r="H286" s="48"/>
      <c r="I286" s="48">
        <v>29572.52</v>
      </c>
      <c r="J286" s="48"/>
      <c r="K286" s="48">
        <v>0</v>
      </c>
      <c r="L286" s="48"/>
      <c r="M286" s="48">
        <v>0</v>
      </c>
      <c r="N286" s="48"/>
      <c r="O286" s="48">
        <v>2355</v>
      </c>
      <c r="P286" s="48"/>
      <c r="Q286" s="48">
        <v>58.5</v>
      </c>
      <c r="R286" s="48"/>
      <c r="S286" s="48">
        <v>12491.5</v>
      </c>
      <c r="T286" s="48"/>
      <c r="U286" s="48">
        <v>0</v>
      </c>
      <c r="V286" s="48"/>
      <c r="W286" s="48">
        <v>0</v>
      </c>
      <c r="X286" s="48"/>
      <c r="Y286" s="48">
        <v>0</v>
      </c>
      <c r="Z286" s="48"/>
      <c r="AA286" s="48">
        <v>0</v>
      </c>
      <c r="AB286" s="48"/>
      <c r="AC286" s="48">
        <v>0</v>
      </c>
      <c r="AD286" s="48"/>
      <c r="AE286" s="48">
        <v>12485.6</v>
      </c>
      <c r="AF286" s="48"/>
      <c r="AG286" s="48">
        <v>0</v>
      </c>
      <c r="AH286" s="19">
        <f t="shared" si="14"/>
        <v>417115.3</v>
      </c>
      <c r="AI286" s="48">
        <f t="shared" si="15"/>
        <v>417115.3</v>
      </c>
      <c r="AJ286" s="5"/>
    </row>
    <row r="287" spans="1:39" s="67" customFormat="1" ht="12" customHeight="1" x14ac:dyDescent="0.2">
      <c r="A287" s="1" t="s">
        <v>639</v>
      </c>
      <c r="B287" s="1"/>
      <c r="C287" s="1" t="s">
        <v>360</v>
      </c>
      <c r="D287" s="1"/>
      <c r="E287" s="48">
        <v>59092</v>
      </c>
      <c r="F287" s="48"/>
      <c r="G287" s="48">
        <v>0</v>
      </c>
      <c r="H287" s="48"/>
      <c r="I287" s="48">
        <v>22712</v>
      </c>
      <c r="J287" s="48"/>
      <c r="K287" s="48">
        <v>0</v>
      </c>
      <c r="L287" s="48"/>
      <c r="M287" s="48">
        <v>7590</v>
      </c>
      <c r="N287" s="48"/>
      <c r="O287" s="48">
        <v>0</v>
      </c>
      <c r="P287" s="48"/>
      <c r="Q287" s="48">
        <v>177</v>
      </c>
      <c r="R287" s="48"/>
      <c r="S287" s="48">
        <v>10570</v>
      </c>
      <c r="T287" s="48"/>
      <c r="U287" s="48">
        <v>0</v>
      </c>
      <c r="V287" s="48"/>
      <c r="W287" s="48">
        <v>0</v>
      </c>
      <c r="X287" s="48"/>
      <c r="Y287" s="48">
        <v>0</v>
      </c>
      <c r="Z287" s="48"/>
      <c r="AA287" s="48">
        <v>0</v>
      </c>
      <c r="AB287" s="48"/>
      <c r="AC287" s="48">
        <v>0</v>
      </c>
      <c r="AD287" s="48"/>
      <c r="AE287" s="48">
        <v>0</v>
      </c>
      <c r="AF287" s="48"/>
      <c r="AG287" s="48">
        <v>0</v>
      </c>
      <c r="AH287" s="19">
        <f t="shared" si="14"/>
        <v>100141</v>
      </c>
      <c r="AI287" s="48">
        <f t="shared" si="15"/>
        <v>100141</v>
      </c>
      <c r="AJ287" s="5"/>
    </row>
    <row r="288" spans="1:39" s="5" customFormat="1" ht="12" customHeight="1" x14ac:dyDescent="0.2">
      <c r="A288" s="1" t="s">
        <v>640</v>
      </c>
      <c r="B288" s="1"/>
      <c r="C288" s="1" t="s">
        <v>619</v>
      </c>
      <c r="D288" s="1"/>
      <c r="E288" s="48">
        <v>28839</v>
      </c>
      <c r="F288" s="48"/>
      <c r="G288" s="48">
        <v>0</v>
      </c>
      <c r="H288" s="48"/>
      <c r="I288" s="48">
        <v>25522</v>
      </c>
      <c r="J288" s="48"/>
      <c r="K288" s="48">
        <v>0</v>
      </c>
      <c r="L288" s="48"/>
      <c r="M288" s="48">
        <v>2518</v>
      </c>
      <c r="N288" s="48"/>
      <c r="O288" s="48">
        <v>0</v>
      </c>
      <c r="P288" s="48"/>
      <c r="Q288" s="48">
        <v>329</v>
      </c>
      <c r="R288" s="48"/>
      <c r="S288" s="48">
        <v>26896</v>
      </c>
      <c r="T288" s="48"/>
      <c r="U288" s="48">
        <v>0</v>
      </c>
      <c r="V288" s="48"/>
      <c r="W288" s="48">
        <v>6353</v>
      </c>
      <c r="X288" s="48"/>
      <c r="Y288" s="48">
        <v>0</v>
      </c>
      <c r="Z288" s="48"/>
      <c r="AA288" s="48">
        <v>0</v>
      </c>
      <c r="AB288" s="48"/>
      <c r="AC288" s="48">
        <v>0</v>
      </c>
      <c r="AD288" s="48"/>
      <c r="AE288" s="48">
        <v>0</v>
      </c>
      <c r="AF288" s="48"/>
      <c r="AG288" s="48">
        <v>0</v>
      </c>
      <c r="AH288" s="19">
        <f t="shared" si="14"/>
        <v>90457</v>
      </c>
      <c r="AI288" s="48">
        <f t="shared" si="15"/>
        <v>90457</v>
      </c>
      <c r="AK288" s="4"/>
      <c r="AL288" s="4"/>
      <c r="AM288" s="4"/>
    </row>
    <row r="289" spans="1:39" ht="12" customHeight="1" x14ac:dyDescent="0.2">
      <c r="A289" s="1" t="s">
        <v>641</v>
      </c>
      <c r="C289" s="1" t="s">
        <v>558</v>
      </c>
      <c r="E289" s="48">
        <v>26102.639999999999</v>
      </c>
      <c r="F289" s="48"/>
      <c r="G289" s="48">
        <v>19721.22</v>
      </c>
      <c r="H289" s="48"/>
      <c r="I289" s="48">
        <v>12124.07</v>
      </c>
      <c r="J289" s="48"/>
      <c r="K289" s="48">
        <v>0</v>
      </c>
      <c r="L289" s="48"/>
      <c r="M289" s="48">
        <v>0</v>
      </c>
      <c r="N289" s="48"/>
      <c r="O289" s="48">
        <v>1374.64</v>
      </c>
      <c r="P289" s="48"/>
      <c r="Q289" s="48">
        <v>11.51</v>
      </c>
      <c r="R289" s="48"/>
      <c r="S289" s="48">
        <v>3592.28</v>
      </c>
      <c r="T289" s="48"/>
      <c r="U289" s="48">
        <v>0</v>
      </c>
      <c r="V289" s="48"/>
      <c r="W289" s="48">
        <v>0</v>
      </c>
      <c r="X289" s="48"/>
      <c r="Y289" s="48">
        <v>0</v>
      </c>
      <c r="Z289" s="48"/>
      <c r="AA289" s="48">
        <v>0</v>
      </c>
      <c r="AB289" s="48"/>
      <c r="AC289" s="48">
        <v>0</v>
      </c>
      <c r="AD289" s="48"/>
      <c r="AE289" s="48">
        <v>0</v>
      </c>
      <c r="AF289" s="48"/>
      <c r="AG289" s="48">
        <v>1093.6199999999999</v>
      </c>
      <c r="AH289" s="19">
        <f t="shared" si="14"/>
        <v>62926.36</v>
      </c>
      <c r="AI289" s="48">
        <f t="shared" si="15"/>
        <v>64019.98</v>
      </c>
      <c r="AJ289" s="5"/>
    </row>
    <row r="290" spans="1:39" s="67" customFormat="1" ht="12" customHeight="1" x14ac:dyDescent="0.2">
      <c r="A290" s="1" t="s">
        <v>846</v>
      </c>
      <c r="B290" s="1"/>
      <c r="C290" s="1" t="s">
        <v>441</v>
      </c>
      <c r="D290" s="1"/>
      <c r="E290" s="48">
        <v>23902</v>
      </c>
      <c r="F290" s="48"/>
      <c r="G290" s="48">
        <v>0</v>
      </c>
      <c r="H290" s="48"/>
      <c r="I290" s="48">
        <v>0</v>
      </c>
      <c r="J290" s="48"/>
      <c r="K290" s="48">
        <v>0</v>
      </c>
      <c r="L290" s="48"/>
      <c r="M290" s="48">
        <v>0</v>
      </c>
      <c r="N290" s="48"/>
      <c r="O290" s="48">
        <v>0</v>
      </c>
      <c r="P290" s="48"/>
      <c r="Q290" s="48">
        <v>0</v>
      </c>
      <c r="R290" s="48"/>
      <c r="S290" s="48">
        <v>395</v>
      </c>
      <c r="T290" s="48"/>
      <c r="U290" s="48">
        <v>0</v>
      </c>
      <c r="V290" s="48"/>
      <c r="W290" s="48">
        <v>0</v>
      </c>
      <c r="X290" s="48"/>
      <c r="Y290" s="48">
        <v>0</v>
      </c>
      <c r="Z290" s="48"/>
      <c r="AA290" s="48">
        <v>0</v>
      </c>
      <c r="AB290" s="48"/>
      <c r="AC290" s="48">
        <v>0</v>
      </c>
      <c r="AD290" s="48"/>
      <c r="AE290" s="48">
        <v>0</v>
      </c>
      <c r="AF290" s="48"/>
      <c r="AG290" s="48">
        <v>0</v>
      </c>
      <c r="AH290" s="19">
        <f t="shared" si="14"/>
        <v>24297</v>
      </c>
      <c r="AI290" s="48">
        <f t="shared" si="15"/>
        <v>24297</v>
      </c>
      <c r="AJ290" s="5"/>
      <c r="AK290" s="1"/>
      <c r="AL290" s="1"/>
      <c r="AM290" s="1"/>
    </row>
    <row r="291" spans="1:39" s="67" customFormat="1" ht="12" customHeight="1" x14ac:dyDescent="0.2">
      <c r="A291" s="1" t="s">
        <v>97</v>
      </c>
      <c r="B291" s="1"/>
      <c r="C291" s="1" t="s">
        <v>373</v>
      </c>
      <c r="D291" s="1"/>
      <c r="E291" s="48">
        <v>23859.69</v>
      </c>
      <c r="F291" s="48"/>
      <c r="G291" s="48">
        <v>44722.77</v>
      </c>
      <c r="H291" s="48"/>
      <c r="I291" s="48">
        <v>28555.47</v>
      </c>
      <c r="J291" s="48"/>
      <c r="K291" s="48">
        <v>0</v>
      </c>
      <c r="L291" s="48"/>
      <c r="M291" s="48">
        <v>0</v>
      </c>
      <c r="N291" s="48"/>
      <c r="O291" s="48">
        <v>21665.41</v>
      </c>
      <c r="P291" s="48"/>
      <c r="Q291" s="48">
        <v>34.11</v>
      </c>
      <c r="R291" s="48"/>
      <c r="S291" s="48">
        <v>29254</v>
      </c>
      <c r="T291" s="48"/>
      <c r="U291" s="48">
        <v>0</v>
      </c>
      <c r="V291" s="48"/>
      <c r="W291" s="48">
        <v>0</v>
      </c>
      <c r="X291" s="48"/>
      <c r="Y291" s="48">
        <v>5759</v>
      </c>
      <c r="Z291" s="48"/>
      <c r="AA291" s="48">
        <v>0</v>
      </c>
      <c r="AB291" s="48"/>
      <c r="AC291" s="48">
        <v>0</v>
      </c>
      <c r="AD291" s="48"/>
      <c r="AE291" s="48">
        <v>5119.5</v>
      </c>
      <c r="AF291" s="48"/>
      <c r="AG291" s="48">
        <v>0</v>
      </c>
      <c r="AH291" s="19">
        <f t="shared" si="14"/>
        <v>158969.95000000001</v>
      </c>
      <c r="AI291" s="48">
        <f t="shared" si="15"/>
        <v>158969.95000000001</v>
      </c>
      <c r="AJ291" s="5"/>
      <c r="AK291" s="87"/>
      <c r="AL291" s="87"/>
      <c r="AM291" s="87"/>
    </row>
    <row r="292" spans="1:39" s="67" customFormat="1" ht="12" customHeight="1" x14ac:dyDescent="0.2">
      <c r="A292" s="1" t="s">
        <v>642</v>
      </c>
      <c r="B292" s="1"/>
      <c r="C292" s="1" t="s">
        <v>464</v>
      </c>
      <c r="D292" s="1"/>
      <c r="E292" s="48">
        <v>19834</v>
      </c>
      <c r="F292" s="48"/>
      <c r="G292" s="48">
        <v>0</v>
      </c>
      <c r="H292" s="48"/>
      <c r="I292" s="48">
        <v>16277</v>
      </c>
      <c r="J292" s="48"/>
      <c r="K292" s="48">
        <v>0</v>
      </c>
      <c r="L292" s="48"/>
      <c r="M292" s="48">
        <v>400</v>
      </c>
      <c r="N292" s="48"/>
      <c r="O292" s="48">
        <v>5388</v>
      </c>
      <c r="P292" s="48"/>
      <c r="Q292" s="48">
        <v>2910</v>
      </c>
      <c r="R292" s="48"/>
      <c r="S292" s="48">
        <v>23133</v>
      </c>
      <c r="T292" s="48"/>
      <c r="U292" s="48">
        <v>0</v>
      </c>
      <c r="V292" s="48"/>
      <c r="W292" s="48">
        <v>0</v>
      </c>
      <c r="X292" s="48"/>
      <c r="Y292" s="48">
        <v>0</v>
      </c>
      <c r="Z292" s="48"/>
      <c r="AA292" s="48">
        <v>0</v>
      </c>
      <c r="AB292" s="48"/>
      <c r="AC292" s="48">
        <v>0</v>
      </c>
      <c r="AD292" s="48"/>
      <c r="AE292" s="48">
        <v>0</v>
      </c>
      <c r="AF292" s="48"/>
      <c r="AG292" s="48">
        <v>0</v>
      </c>
      <c r="AH292" s="19">
        <f t="shared" si="14"/>
        <v>67942</v>
      </c>
      <c r="AI292" s="48">
        <f t="shared" si="15"/>
        <v>67942</v>
      </c>
      <c r="AJ292" s="5"/>
      <c r="AK292" s="66"/>
      <c r="AL292" s="66"/>
      <c r="AM292" s="66"/>
    </row>
    <row r="293" spans="1:39" ht="12" customHeight="1" x14ac:dyDescent="0.2">
      <c r="A293" s="1" t="s">
        <v>712</v>
      </c>
      <c r="C293" s="1" t="s">
        <v>476</v>
      </c>
      <c r="E293" s="48">
        <v>93346.65</v>
      </c>
      <c r="F293" s="48"/>
      <c r="G293" s="48">
        <v>501266.78</v>
      </c>
      <c r="H293" s="48"/>
      <c r="I293" s="48">
        <v>237069.23</v>
      </c>
      <c r="J293" s="48"/>
      <c r="K293" s="48">
        <v>0</v>
      </c>
      <c r="L293" s="48"/>
      <c r="M293" s="48">
        <v>74275.22</v>
      </c>
      <c r="N293" s="48"/>
      <c r="O293" s="48">
        <v>5432.5</v>
      </c>
      <c r="P293" s="48"/>
      <c r="Q293" s="48">
        <v>2798.64</v>
      </c>
      <c r="R293" s="48"/>
      <c r="S293" s="48">
        <v>29587.64</v>
      </c>
      <c r="T293" s="48"/>
      <c r="U293" s="48">
        <v>0</v>
      </c>
      <c r="V293" s="48"/>
      <c r="W293" s="48">
        <v>0</v>
      </c>
      <c r="X293" s="48"/>
      <c r="Y293" s="48">
        <v>0</v>
      </c>
      <c r="Z293" s="48"/>
      <c r="AA293" s="48">
        <v>0</v>
      </c>
      <c r="AB293" s="48"/>
      <c r="AC293" s="48">
        <v>366246</v>
      </c>
      <c r="AD293" s="48"/>
      <c r="AE293" s="48">
        <v>0</v>
      </c>
      <c r="AF293" s="48"/>
      <c r="AG293" s="48">
        <v>0</v>
      </c>
      <c r="AH293" s="19">
        <f t="shared" si="14"/>
        <v>1310022.6600000001</v>
      </c>
      <c r="AI293" s="48">
        <f t="shared" si="15"/>
        <v>1310022.6600000001</v>
      </c>
      <c r="AJ293" s="5"/>
      <c r="AK293" s="87"/>
      <c r="AL293" s="87"/>
      <c r="AM293" s="87"/>
    </row>
    <row r="294" spans="1:39" ht="12" customHeight="1" x14ac:dyDescent="0.2">
      <c r="A294" s="1" t="s">
        <v>643</v>
      </c>
      <c r="C294" s="1" t="s">
        <v>325</v>
      </c>
      <c r="E294" s="48">
        <v>439291</v>
      </c>
      <c r="F294" s="48"/>
      <c r="G294" s="48">
        <v>0</v>
      </c>
      <c r="H294" s="48"/>
      <c r="I294" s="48">
        <v>96825</v>
      </c>
      <c r="J294" s="48"/>
      <c r="K294" s="48">
        <v>0</v>
      </c>
      <c r="L294" s="48"/>
      <c r="M294" s="48">
        <v>2050</v>
      </c>
      <c r="N294" s="48"/>
      <c r="O294" s="48">
        <v>34986</v>
      </c>
      <c r="P294" s="48"/>
      <c r="Q294" s="48">
        <v>1991</v>
      </c>
      <c r="R294" s="48"/>
      <c r="S294" s="48">
        <v>16482</v>
      </c>
      <c r="T294" s="48"/>
      <c r="U294" s="48">
        <v>0</v>
      </c>
      <c r="V294" s="48"/>
      <c r="W294" s="48">
        <v>0</v>
      </c>
      <c r="X294" s="48"/>
      <c r="Y294" s="48">
        <v>0</v>
      </c>
      <c r="Z294" s="48"/>
      <c r="AA294" s="48">
        <v>0</v>
      </c>
      <c r="AB294" s="48"/>
      <c r="AC294" s="48">
        <v>0</v>
      </c>
      <c r="AD294" s="48"/>
      <c r="AE294" s="48">
        <v>0</v>
      </c>
      <c r="AF294" s="48"/>
      <c r="AG294" s="48">
        <v>0</v>
      </c>
      <c r="AH294" s="19">
        <f t="shared" si="14"/>
        <v>591625</v>
      </c>
      <c r="AI294" s="48">
        <f t="shared" si="15"/>
        <v>591625</v>
      </c>
      <c r="AJ294" s="5"/>
      <c r="AK294" s="4"/>
      <c r="AL294" s="4"/>
      <c r="AM294" s="4"/>
    </row>
    <row r="295" spans="1:39" s="67" customFormat="1" ht="12" customHeight="1" x14ac:dyDescent="0.2">
      <c r="A295" s="6" t="s">
        <v>832</v>
      </c>
      <c r="B295" s="6"/>
      <c r="C295" s="6" t="s">
        <v>498</v>
      </c>
      <c r="D295" s="6"/>
      <c r="E295" s="48">
        <v>6053</v>
      </c>
      <c r="F295" s="48"/>
      <c r="G295" s="48">
        <v>8590</v>
      </c>
      <c r="H295" s="48"/>
      <c r="I295" s="48">
        <v>10584</v>
      </c>
      <c r="J295" s="48"/>
      <c r="K295" s="48">
        <v>0</v>
      </c>
      <c r="L295" s="48"/>
      <c r="M295" s="48">
        <v>0</v>
      </c>
      <c r="N295" s="48"/>
      <c r="O295" s="48">
        <v>0</v>
      </c>
      <c r="P295" s="48"/>
      <c r="Q295" s="48">
        <v>219</v>
      </c>
      <c r="R295" s="48"/>
      <c r="S295" s="48">
        <v>4728</v>
      </c>
      <c r="T295" s="48"/>
      <c r="U295" s="48">
        <v>0</v>
      </c>
      <c r="V295" s="48"/>
      <c r="W295" s="48">
        <v>0</v>
      </c>
      <c r="X295" s="48"/>
      <c r="Y295" s="48">
        <v>0</v>
      </c>
      <c r="Z295" s="48"/>
      <c r="AA295" s="48">
        <v>0</v>
      </c>
      <c r="AB295" s="48"/>
      <c r="AC295" s="48">
        <v>0</v>
      </c>
      <c r="AD295" s="48"/>
      <c r="AE295" s="48">
        <v>0</v>
      </c>
      <c r="AF295" s="48"/>
      <c r="AG295" s="48">
        <v>0</v>
      </c>
      <c r="AH295" s="19">
        <f t="shared" si="14"/>
        <v>30174</v>
      </c>
      <c r="AI295" s="48">
        <f t="shared" si="15"/>
        <v>30174</v>
      </c>
      <c r="AJ295" s="5"/>
      <c r="AK295" s="1"/>
      <c r="AL295" s="1"/>
      <c r="AM295" s="1"/>
    </row>
    <row r="296" spans="1:39" ht="12" customHeight="1" x14ac:dyDescent="0.2">
      <c r="A296" s="1" t="s">
        <v>770</v>
      </c>
      <c r="C296" s="1" t="s">
        <v>382</v>
      </c>
      <c r="E296" s="48">
        <v>53118</v>
      </c>
      <c r="F296" s="48"/>
      <c r="G296" s="48">
        <v>135070</v>
      </c>
      <c r="H296" s="48"/>
      <c r="I296" s="48">
        <v>19093</v>
      </c>
      <c r="J296" s="48"/>
      <c r="K296" s="48">
        <v>0</v>
      </c>
      <c r="L296" s="48"/>
      <c r="M296" s="48">
        <v>1039</v>
      </c>
      <c r="N296" s="48"/>
      <c r="O296" s="48">
        <v>22</v>
      </c>
      <c r="P296" s="48"/>
      <c r="Q296" s="48">
        <v>433</v>
      </c>
      <c r="R296" s="48"/>
      <c r="S296" s="48">
        <v>46432</v>
      </c>
      <c r="T296" s="48"/>
      <c r="U296" s="48">
        <v>0</v>
      </c>
      <c r="V296" s="48"/>
      <c r="W296" s="48">
        <v>0</v>
      </c>
      <c r="X296" s="48"/>
      <c r="Y296" s="48">
        <v>0</v>
      </c>
      <c r="Z296" s="48"/>
      <c r="AA296" s="48">
        <v>0</v>
      </c>
      <c r="AB296" s="48"/>
      <c r="AC296" s="48">
        <v>0</v>
      </c>
      <c r="AD296" s="48"/>
      <c r="AE296" s="48">
        <v>0</v>
      </c>
      <c r="AF296" s="48"/>
      <c r="AG296" s="48">
        <v>0</v>
      </c>
      <c r="AH296" s="19">
        <f t="shared" si="14"/>
        <v>255207</v>
      </c>
      <c r="AI296" s="48">
        <f t="shared" si="15"/>
        <v>255207</v>
      </c>
      <c r="AJ296" s="5"/>
    </row>
    <row r="297" spans="1:39" ht="12" customHeight="1" x14ac:dyDescent="0.2">
      <c r="A297" s="1" t="s">
        <v>198</v>
      </c>
      <c r="C297" s="1" t="s">
        <v>485</v>
      </c>
      <c r="E297" s="48">
        <v>81987.09</v>
      </c>
      <c r="F297" s="48"/>
      <c r="G297" s="48">
        <v>0</v>
      </c>
      <c r="H297" s="48"/>
      <c r="I297" s="48">
        <v>119122.11</v>
      </c>
      <c r="J297" s="48"/>
      <c r="K297" s="48">
        <v>0</v>
      </c>
      <c r="L297" s="48"/>
      <c r="M297" s="48">
        <v>0</v>
      </c>
      <c r="N297" s="48"/>
      <c r="O297" s="48">
        <v>350</v>
      </c>
      <c r="P297" s="48"/>
      <c r="Q297" s="48">
        <v>8536.9699999999993</v>
      </c>
      <c r="R297" s="48"/>
      <c r="S297" s="48">
        <v>4557.09</v>
      </c>
      <c r="T297" s="48"/>
      <c r="U297" s="48">
        <v>0</v>
      </c>
      <c r="V297" s="48"/>
      <c r="W297" s="48">
        <v>0</v>
      </c>
      <c r="X297" s="48"/>
      <c r="Y297" s="48">
        <v>0</v>
      </c>
      <c r="Z297" s="48"/>
      <c r="AA297" s="48">
        <v>0</v>
      </c>
      <c r="AB297" s="48"/>
      <c r="AC297" s="48">
        <v>0</v>
      </c>
      <c r="AD297" s="48"/>
      <c r="AE297" s="48">
        <v>19074.18</v>
      </c>
      <c r="AF297" s="48"/>
      <c r="AG297" s="48">
        <v>0</v>
      </c>
      <c r="AH297" s="19">
        <f t="shared" si="14"/>
        <v>233627.44</v>
      </c>
      <c r="AI297" s="48">
        <f t="shared" si="15"/>
        <v>233627.44</v>
      </c>
      <c r="AJ297" s="8"/>
      <c r="AK297" s="6"/>
      <c r="AL297" s="6"/>
      <c r="AM297" s="6"/>
    </row>
    <row r="298" spans="1:39" s="67" customFormat="1" ht="12" customHeight="1" x14ac:dyDescent="0.2">
      <c r="A298" s="1" t="s">
        <v>127</v>
      </c>
      <c r="B298" s="1"/>
      <c r="C298" s="1" t="s">
        <v>419</v>
      </c>
      <c r="D298" s="1"/>
      <c r="E298" s="48">
        <v>17612.490000000002</v>
      </c>
      <c r="F298" s="48"/>
      <c r="G298" s="48">
        <v>0</v>
      </c>
      <c r="H298" s="48"/>
      <c r="I298" s="48">
        <v>17499.39</v>
      </c>
      <c r="J298" s="48"/>
      <c r="K298" s="48">
        <v>0</v>
      </c>
      <c r="L298" s="48"/>
      <c r="M298" s="48">
        <v>95.6</v>
      </c>
      <c r="N298" s="48"/>
      <c r="O298" s="48">
        <v>533.91</v>
      </c>
      <c r="P298" s="48"/>
      <c r="Q298" s="48">
        <v>0</v>
      </c>
      <c r="R298" s="48"/>
      <c r="S298" s="48">
        <v>477.42</v>
      </c>
      <c r="T298" s="48"/>
      <c r="U298" s="48">
        <v>0</v>
      </c>
      <c r="V298" s="48"/>
      <c r="W298" s="48">
        <v>0</v>
      </c>
      <c r="X298" s="48"/>
      <c r="Y298" s="48">
        <v>0</v>
      </c>
      <c r="Z298" s="48"/>
      <c r="AA298" s="48">
        <v>0</v>
      </c>
      <c r="AB298" s="48"/>
      <c r="AC298" s="48">
        <v>0</v>
      </c>
      <c r="AD298" s="48"/>
      <c r="AE298" s="48">
        <v>0</v>
      </c>
      <c r="AF298" s="48"/>
      <c r="AG298" s="48">
        <v>0</v>
      </c>
      <c r="AH298" s="19">
        <f t="shared" si="14"/>
        <v>36218.810000000005</v>
      </c>
      <c r="AI298" s="48">
        <f t="shared" si="15"/>
        <v>36218.810000000005</v>
      </c>
      <c r="AJ298" s="5"/>
      <c r="AK298" s="87"/>
      <c r="AL298" s="87"/>
      <c r="AM298" s="87"/>
    </row>
    <row r="299" spans="1:39" s="67" customFormat="1" ht="12" customHeight="1" x14ac:dyDescent="0.2">
      <c r="A299" s="1" t="s">
        <v>247</v>
      </c>
      <c r="B299" s="1"/>
      <c r="C299" s="1" t="s">
        <v>566</v>
      </c>
      <c r="D299" s="1"/>
      <c r="E299" s="48">
        <v>872.05</v>
      </c>
      <c r="F299" s="48"/>
      <c r="G299" s="48">
        <v>12493.61</v>
      </c>
      <c r="H299" s="48"/>
      <c r="I299" s="48">
        <v>2603.5700000000002</v>
      </c>
      <c r="J299" s="48"/>
      <c r="K299" s="48">
        <v>0</v>
      </c>
      <c r="L299" s="48"/>
      <c r="M299" s="48">
        <v>0</v>
      </c>
      <c r="N299" s="48"/>
      <c r="O299" s="48">
        <v>0</v>
      </c>
      <c r="P299" s="48"/>
      <c r="Q299" s="48">
        <v>38.07</v>
      </c>
      <c r="R299" s="48"/>
      <c r="S299" s="48">
        <v>0</v>
      </c>
      <c r="T299" s="48"/>
      <c r="U299" s="48">
        <v>0</v>
      </c>
      <c r="V299" s="48"/>
      <c r="W299" s="48">
        <v>0</v>
      </c>
      <c r="X299" s="48"/>
      <c r="Y299" s="48">
        <v>0</v>
      </c>
      <c r="Z299" s="48"/>
      <c r="AA299" s="48">
        <v>0</v>
      </c>
      <c r="AB299" s="48"/>
      <c r="AC299" s="48">
        <v>0</v>
      </c>
      <c r="AD299" s="48"/>
      <c r="AE299" s="48">
        <v>0</v>
      </c>
      <c r="AF299" s="48"/>
      <c r="AG299" s="48">
        <v>0</v>
      </c>
      <c r="AH299" s="19">
        <f t="shared" si="14"/>
        <v>16007.3</v>
      </c>
      <c r="AI299" s="48">
        <f t="shared" si="15"/>
        <v>16007.3</v>
      </c>
      <c r="AJ299" s="17"/>
      <c r="AK299" s="20"/>
      <c r="AL299" s="20"/>
      <c r="AM299" s="20"/>
    </row>
    <row r="300" spans="1:39" ht="12" customHeight="1" x14ac:dyDescent="0.2">
      <c r="A300" s="1" t="s">
        <v>644</v>
      </c>
      <c r="C300" s="1" t="s">
        <v>408</v>
      </c>
      <c r="E300" s="48">
        <v>41486.04</v>
      </c>
      <c r="F300" s="48"/>
      <c r="G300" s="48">
        <v>0</v>
      </c>
      <c r="H300" s="48"/>
      <c r="I300" s="48">
        <v>22735.11</v>
      </c>
      <c r="J300" s="48"/>
      <c r="K300" s="48">
        <v>0</v>
      </c>
      <c r="L300" s="48"/>
      <c r="M300" s="48">
        <v>0</v>
      </c>
      <c r="N300" s="48"/>
      <c r="O300" s="48">
        <v>63268.25</v>
      </c>
      <c r="P300" s="48"/>
      <c r="Q300" s="48">
        <v>15.61</v>
      </c>
      <c r="R300" s="48"/>
      <c r="S300" s="48">
        <v>4764.22</v>
      </c>
      <c r="T300" s="48"/>
      <c r="U300" s="48">
        <v>0</v>
      </c>
      <c r="V300" s="48"/>
      <c r="W300" s="48">
        <v>0</v>
      </c>
      <c r="X300" s="48"/>
      <c r="Y300" s="48">
        <v>0</v>
      </c>
      <c r="Z300" s="48"/>
      <c r="AA300" s="48">
        <v>1350</v>
      </c>
      <c r="AB300" s="48"/>
      <c r="AC300" s="48">
        <v>0</v>
      </c>
      <c r="AD300" s="48"/>
      <c r="AE300" s="48">
        <v>0</v>
      </c>
      <c r="AF300" s="48"/>
      <c r="AG300" s="48">
        <v>0</v>
      </c>
      <c r="AH300" s="19">
        <f t="shared" si="14"/>
        <v>133619.22999999998</v>
      </c>
      <c r="AI300" s="48">
        <f t="shared" si="15"/>
        <v>133619.22999999998</v>
      </c>
      <c r="AJ300" s="5"/>
    </row>
    <row r="301" spans="1:39" ht="12" customHeight="1" x14ac:dyDescent="0.2">
      <c r="A301" s="1" t="s">
        <v>783</v>
      </c>
      <c r="C301" s="1" t="s">
        <v>399</v>
      </c>
      <c r="E301" s="48">
        <v>803559</v>
      </c>
      <c r="F301" s="48"/>
      <c r="G301" s="48">
        <v>0</v>
      </c>
      <c r="H301" s="48"/>
      <c r="I301" s="48">
        <v>208825</v>
      </c>
      <c r="J301" s="48"/>
      <c r="K301" s="48">
        <v>0</v>
      </c>
      <c r="L301" s="48"/>
      <c r="M301" s="48">
        <v>8022</v>
      </c>
      <c r="N301" s="48"/>
      <c r="O301" s="48">
        <v>75441</v>
      </c>
      <c r="P301" s="48"/>
      <c r="Q301" s="48">
        <v>533692</v>
      </c>
      <c r="R301" s="48"/>
      <c r="S301" s="48">
        <v>28579</v>
      </c>
      <c r="T301" s="48"/>
      <c r="U301" s="48">
        <v>0</v>
      </c>
      <c r="V301" s="48"/>
      <c r="W301" s="48">
        <v>0</v>
      </c>
      <c r="X301" s="48"/>
      <c r="Y301" s="48">
        <v>0</v>
      </c>
      <c r="Z301" s="48"/>
      <c r="AA301" s="48">
        <v>0</v>
      </c>
      <c r="AB301" s="48"/>
      <c r="AC301" s="48">
        <v>0</v>
      </c>
      <c r="AD301" s="48"/>
      <c r="AE301" s="48">
        <v>0</v>
      </c>
      <c r="AF301" s="48"/>
      <c r="AG301" s="48">
        <v>0</v>
      </c>
      <c r="AH301" s="19">
        <f t="shared" si="14"/>
        <v>1658118</v>
      </c>
      <c r="AI301" s="48">
        <f t="shared" si="15"/>
        <v>1658118</v>
      </c>
      <c r="AJ301" s="5"/>
    </row>
    <row r="302" spans="1:39" ht="12" customHeight="1" x14ac:dyDescent="0.2">
      <c r="A302" s="1" t="s">
        <v>838</v>
      </c>
      <c r="C302" s="1" t="s">
        <v>430</v>
      </c>
      <c r="E302" s="48">
        <v>75760.820000000007</v>
      </c>
      <c r="F302" s="48"/>
      <c r="G302" s="48">
        <v>0</v>
      </c>
      <c r="H302" s="48"/>
      <c r="I302" s="48">
        <v>14787.92</v>
      </c>
      <c r="J302" s="48"/>
      <c r="K302" s="48">
        <v>0</v>
      </c>
      <c r="L302" s="48"/>
      <c r="M302" s="48">
        <v>0</v>
      </c>
      <c r="N302" s="48"/>
      <c r="O302" s="48">
        <v>4539.2</v>
      </c>
      <c r="P302" s="48"/>
      <c r="Q302" s="48">
        <v>314.14</v>
      </c>
      <c r="R302" s="48"/>
      <c r="S302" s="48">
        <v>5382.36</v>
      </c>
      <c r="T302" s="48"/>
      <c r="U302" s="48">
        <v>0</v>
      </c>
      <c r="V302" s="48"/>
      <c r="W302" s="48">
        <v>0</v>
      </c>
      <c r="X302" s="48"/>
      <c r="Y302" s="48">
        <v>0</v>
      </c>
      <c r="Z302" s="48"/>
      <c r="AA302" s="48">
        <v>0</v>
      </c>
      <c r="AB302" s="48"/>
      <c r="AC302" s="48">
        <v>0</v>
      </c>
      <c r="AD302" s="48"/>
      <c r="AE302" s="48">
        <v>0</v>
      </c>
      <c r="AF302" s="48"/>
      <c r="AG302" s="48">
        <v>0</v>
      </c>
      <c r="AH302" s="19">
        <f t="shared" si="14"/>
        <v>100784.44</v>
      </c>
      <c r="AI302" s="48">
        <f t="shared" si="15"/>
        <v>100784.44</v>
      </c>
      <c r="AJ302" s="5"/>
    </row>
    <row r="303" spans="1:39" ht="12" customHeight="1" x14ac:dyDescent="0.2">
      <c r="A303" s="1" t="s">
        <v>5</v>
      </c>
      <c r="C303" s="1" t="s">
        <v>651</v>
      </c>
      <c r="E303" s="48">
        <v>35910.629999999997</v>
      </c>
      <c r="F303" s="48"/>
      <c r="G303" s="48">
        <v>0</v>
      </c>
      <c r="H303" s="48"/>
      <c r="I303" s="48">
        <v>8650.2000000000007</v>
      </c>
      <c r="J303" s="48"/>
      <c r="K303" s="48">
        <v>0</v>
      </c>
      <c r="L303" s="48"/>
      <c r="M303" s="48">
        <v>0</v>
      </c>
      <c r="N303" s="48"/>
      <c r="O303" s="48">
        <v>0</v>
      </c>
      <c r="P303" s="48"/>
      <c r="Q303" s="48">
        <v>5.46</v>
      </c>
      <c r="R303" s="48"/>
      <c r="S303" s="48">
        <v>2929.27</v>
      </c>
      <c r="T303" s="48"/>
      <c r="U303" s="48">
        <v>0</v>
      </c>
      <c r="V303" s="48"/>
      <c r="W303" s="48">
        <v>0</v>
      </c>
      <c r="X303" s="48"/>
      <c r="Y303" s="48">
        <v>0</v>
      </c>
      <c r="Z303" s="48"/>
      <c r="AA303" s="48">
        <v>0</v>
      </c>
      <c r="AB303" s="48"/>
      <c r="AC303" s="48">
        <v>0</v>
      </c>
      <c r="AD303" s="48"/>
      <c r="AE303" s="48">
        <v>0</v>
      </c>
      <c r="AF303" s="48"/>
      <c r="AG303" s="48">
        <v>0</v>
      </c>
      <c r="AH303" s="19">
        <f t="shared" si="14"/>
        <v>47495.56</v>
      </c>
      <c r="AI303" s="48">
        <f t="shared" si="15"/>
        <v>47495.56</v>
      </c>
      <c r="AJ303" s="5"/>
      <c r="AK303" s="87"/>
      <c r="AL303" s="87"/>
      <c r="AM303" s="87"/>
    </row>
    <row r="304" spans="1:39" ht="12" customHeight="1" x14ac:dyDescent="0.2">
      <c r="A304" s="1" t="s">
        <v>128</v>
      </c>
      <c r="C304" s="1" t="s">
        <v>419</v>
      </c>
      <c r="E304" s="48">
        <v>224213.94</v>
      </c>
      <c r="F304" s="48"/>
      <c r="G304" s="48">
        <v>633983.43999999994</v>
      </c>
      <c r="H304" s="48"/>
      <c r="I304" s="48">
        <v>78385.009999999995</v>
      </c>
      <c r="J304" s="48"/>
      <c r="K304" s="48">
        <v>0</v>
      </c>
      <c r="L304" s="48"/>
      <c r="M304" s="48">
        <v>146159.47</v>
      </c>
      <c r="N304" s="48"/>
      <c r="O304" s="48">
        <v>76477.289999999994</v>
      </c>
      <c r="P304" s="48"/>
      <c r="Q304" s="48">
        <v>1533.89</v>
      </c>
      <c r="R304" s="48"/>
      <c r="S304" s="48">
        <v>7948.95</v>
      </c>
      <c r="T304" s="48"/>
      <c r="U304" s="48">
        <v>0</v>
      </c>
      <c r="V304" s="48"/>
      <c r="W304" s="48">
        <v>0</v>
      </c>
      <c r="X304" s="48"/>
      <c r="Y304" s="48">
        <v>0</v>
      </c>
      <c r="Z304" s="48"/>
      <c r="AA304" s="48">
        <v>0</v>
      </c>
      <c r="AB304" s="48"/>
      <c r="AC304" s="48">
        <v>0</v>
      </c>
      <c r="AD304" s="48"/>
      <c r="AE304" s="48">
        <v>0</v>
      </c>
      <c r="AF304" s="48"/>
      <c r="AG304" s="48">
        <v>0</v>
      </c>
      <c r="AH304" s="19">
        <f t="shared" si="14"/>
        <v>1168701.9899999998</v>
      </c>
      <c r="AI304" s="48">
        <f t="shared" si="15"/>
        <v>1168701.9899999998</v>
      </c>
      <c r="AJ304" s="5"/>
      <c r="AK304" s="87"/>
      <c r="AL304" s="87"/>
      <c r="AM304" s="87"/>
    </row>
    <row r="305" spans="1:39" ht="12" customHeight="1" x14ac:dyDescent="0.2">
      <c r="A305" s="1" t="s">
        <v>646</v>
      </c>
      <c r="C305" s="1" t="s">
        <v>399</v>
      </c>
      <c r="E305" s="48">
        <v>41200.78</v>
      </c>
      <c r="F305" s="48"/>
      <c r="G305" s="48">
        <v>35270.65</v>
      </c>
      <c r="H305" s="48"/>
      <c r="I305" s="48">
        <v>22189.22</v>
      </c>
      <c r="J305" s="48"/>
      <c r="K305" s="48">
        <v>0</v>
      </c>
      <c r="L305" s="48"/>
      <c r="M305" s="48">
        <v>0</v>
      </c>
      <c r="N305" s="48"/>
      <c r="O305" s="48">
        <v>3242</v>
      </c>
      <c r="P305" s="48"/>
      <c r="Q305" s="48">
        <v>26.82</v>
      </c>
      <c r="R305" s="48"/>
      <c r="S305" s="48">
        <v>0</v>
      </c>
      <c r="T305" s="48"/>
      <c r="U305" s="48">
        <v>0</v>
      </c>
      <c r="V305" s="48"/>
      <c r="W305" s="48">
        <v>0</v>
      </c>
      <c r="X305" s="48"/>
      <c r="Y305" s="48">
        <v>0</v>
      </c>
      <c r="Z305" s="48"/>
      <c r="AA305" s="48">
        <v>0</v>
      </c>
      <c r="AB305" s="48"/>
      <c r="AC305" s="48">
        <v>0</v>
      </c>
      <c r="AD305" s="48"/>
      <c r="AE305" s="48">
        <v>0</v>
      </c>
      <c r="AF305" s="48"/>
      <c r="AG305" s="48">
        <v>0</v>
      </c>
      <c r="AH305" s="19">
        <f t="shared" si="14"/>
        <v>101929.47</v>
      </c>
      <c r="AI305" s="48">
        <f t="shared" si="15"/>
        <v>101929.47</v>
      </c>
      <c r="AJ305" s="5"/>
    </row>
    <row r="306" spans="1:39" ht="12" customHeight="1" x14ac:dyDescent="0.2">
      <c r="A306" s="6" t="s">
        <v>700</v>
      </c>
      <c r="B306" s="6"/>
      <c r="C306" s="6" t="s">
        <v>511</v>
      </c>
      <c r="E306" s="48">
        <v>76711</v>
      </c>
      <c r="F306" s="48"/>
      <c r="G306" s="48">
        <v>822788</v>
      </c>
      <c r="H306" s="48"/>
      <c r="I306" s="48">
        <v>194338</v>
      </c>
      <c r="J306" s="48"/>
      <c r="K306" s="48">
        <v>0</v>
      </c>
      <c r="L306" s="48"/>
      <c r="M306" s="48">
        <v>35677</v>
      </c>
      <c r="N306" s="48"/>
      <c r="O306" s="48">
        <v>11472</v>
      </c>
      <c r="P306" s="48"/>
      <c r="Q306" s="48">
        <v>0</v>
      </c>
      <c r="R306" s="48"/>
      <c r="S306" s="48">
        <v>46411</v>
      </c>
      <c r="T306" s="48"/>
      <c r="U306" s="48">
        <v>0</v>
      </c>
      <c r="V306" s="48"/>
      <c r="W306" s="48">
        <v>0</v>
      </c>
      <c r="X306" s="48"/>
      <c r="Y306" s="48">
        <v>0</v>
      </c>
      <c r="Z306" s="48"/>
      <c r="AA306" s="48">
        <v>59835</v>
      </c>
      <c r="AB306" s="48"/>
      <c r="AC306" s="48">
        <v>0</v>
      </c>
      <c r="AD306" s="48"/>
      <c r="AE306" s="48">
        <v>0</v>
      </c>
      <c r="AF306" s="48"/>
      <c r="AG306" s="48">
        <v>0</v>
      </c>
      <c r="AH306" s="19">
        <f t="shared" si="14"/>
        <v>1247232</v>
      </c>
      <c r="AI306" s="48">
        <f t="shared" si="15"/>
        <v>1247232</v>
      </c>
      <c r="AJ306" s="5"/>
    </row>
    <row r="307" spans="1:39" ht="12" customHeight="1" x14ac:dyDescent="0.2">
      <c r="A307" s="1" t="s">
        <v>700</v>
      </c>
      <c r="C307" s="1" t="s">
        <v>511</v>
      </c>
      <c r="E307" s="48">
        <v>76710.95</v>
      </c>
      <c r="F307" s="48"/>
      <c r="G307" s="48">
        <v>822788.2</v>
      </c>
      <c r="H307" s="48"/>
      <c r="I307" s="48">
        <v>182338.08</v>
      </c>
      <c r="J307" s="48"/>
      <c r="K307" s="48">
        <v>0</v>
      </c>
      <c r="L307" s="48"/>
      <c r="M307" s="48">
        <v>22915</v>
      </c>
      <c r="N307" s="48"/>
      <c r="O307" s="48">
        <v>62473.93</v>
      </c>
      <c r="P307" s="48"/>
      <c r="Q307" s="48">
        <v>0</v>
      </c>
      <c r="R307" s="48"/>
      <c r="S307" s="48">
        <v>9668.7800000000007</v>
      </c>
      <c r="T307" s="48"/>
      <c r="U307" s="48">
        <v>0</v>
      </c>
      <c r="V307" s="48"/>
      <c r="W307" s="48">
        <v>0</v>
      </c>
      <c r="X307" s="48"/>
      <c r="Y307" s="48">
        <v>10499</v>
      </c>
      <c r="Z307" s="48"/>
      <c r="AA307" s="48">
        <v>59835.11</v>
      </c>
      <c r="AB307" s="48"/>
      <c r="AC307" s="48">
        <v>0</v>
      </c>
      <c r="AD307" s="48"/>
      <c r="AE307" s="48">
        <v>0</v>
      </c>
      <c r="AF307" s="48"/>
      <c r="AG307" s="48">
        <v>0</v>
      </c>
      <c r="AH307" s="19">
        <f t="shared" si="14"/>
        <v>1247229.05</v>
      </c>
      <c r="AI307" s="48">
        <f t="shared" si="15"/>
        <v>1247229.05</v>
      </c>
      <c r="AJ307" s="5"/>
      <c r="AK307" s="87"/>
      <c r="AL307" s="87"/>
      <c r="AM307" s="87"/>
    </row>
    <row r="308" spans="1:39" ht="12" customHeight="1" x14ac:dyDescent="0.2">
      <c r="A308" s="1" t="s">
        <v>645</v>
      </c>
      <c r="C308" s="1" t="s">
        <v>414</v>
      </c>
      <c r="E308" s="48">
        <v>31928.22</v>
      </c>
      <c r="F308" s="48"/>
      <c r="G308" s="48">
        <v>0</v>
      </c>
      <c r="H308" s="48"/>
      <c r="I308" s="48">
        <v>33209.9</v>
      </c>
      <c r="J308" s="48"/>
      <c r="K308" s="48">
        <v>0</v>
      </c>
      <c r="L308" s="48"/>
      <c r="M308" s="48">
        <v>159532.66</v>
      </c>
      <c r="N308" s="48"/>
      <c r="O308" s="48">
        <v>7876.35</v>
      </c>
      <c r="P308" s="48"/>
      <c r="Q308" s="48">
        <v>3478.12</v>
      </c>
      <c r="R308" s="48"/>
      <c r="S308" s="48">
        <v>71942.61</v>
      </c>
      <c r="T308" s="48"/>
      <c r="U308" s="48">
        <v>0</v>
      </c>
      <c r="V308" s="48"/>
      <c r="W308" s="48">
        <v>0</v>
      </c>
      <c r="X308" s="48"/>
      <c r="Y308" s="48">
        <v>0</v>
      </c>
      <c r="Z308" s="48"/>
      <c r="AA308" s="48">
        <v>0</v>
      </c>
      <c r="AB308" s="48"/>
      <c r="AC308" s="48">
        <v>0</v>
      </c>
      <c r="AD308" s="48"/>
      <c r="AE308" s="48">
        <v>0</v>
      </c>
      <c r="AF308" s="48"/>
      <c r="AG308" s="48">
        <v>0</v>
      </c>
      <c r="AH308" s="19">
        <f t="shared" si="14"/>
        <v>307967.86</v>
      </c>
      <c r="AI308" s="48">
        <f t="shared" si="15"/>
        <v>307967.86</v>
      </c>
      <c r="AJ308" s="5"/>
      <c r="AK308" s="67"/>
      <c r="AL308" s="67"/>
      <c r="AM308" s="67"/>
    </row>
    <row r="309" spans="1:39" ht="12" customHeight="1" x14ac:dyDescent="0.2">
      <c r="A309" s="1" t="s">
        <v>170</v>
      </c>
      <c r="C309" s="1" t="s">
        <v>460</v>
      </c>
      <c r="E309" s="48">
        <v>9145.9699999999993</v>
      </c>
      <c r="F309" s="48"/>
      <c r="G309" s="48">
        <v>0</v>
      </c>
      <c r="H309" s="48"/>
      <c r="I309" s="48">
        <v>21767.79</v>
      </c>
      <c r="J309" s="48"/>
      <c r="K309" s="48">
        <v>0</v>
      </c>
      <c r="L309" s="48"/>
      <c r="M309" s="48">
        <v>0</v>
      </c>
      <c r="N309" s="48"/>
      <c r="O309" s="48">
        <v>0</v>
      </c>
      <c r="P309" s="48"/>
      <c r="Q309" s="48">
        <v>13.84</v>
      </c>
      <c r="R309" s="48"/>
      <c r="S309" s="48">
        <v>1130.44</v>
      </c>
      <c r="T309" s="48"/>
      <c r="U309" s="48">
        <v>0</v>
      </c>
      <c r="V309" s="48"/>
      <c r="W309" s="48">
        <v>0</v>
      </c>
      <c r="X309" s="48"/>
      <c r="Y309" s="48">
        <v>0</v>
      </c>
      <c r="Z309" s="48"/>
      <c r="AA309" s="48">
        <v>0</v>
      </c>
      <c r="AB309" s="48"/>
      <c r="AC309" s="48">
        <v>0</v>
      </c>
      <c r="AD309" s="48"/>
      <c r="AE309" s="48">
        <v>0</v>
      </c>
      <c r="AF309" s="48"/>
      <c r="AG309" s="48">
        <v>0</v>
      </c>
      <c r="AH309" s="19">
        <f t="shared" si="14"/>
        <v>32058.04</v>
      </c>
      <c r="AI309" s="48">
        <f t="shared" si="15"/>
        <v>32058.04</v>
      </c>
      <c r="AJ309" s="5"/>
    </row>
    <row r="310" spans="1:39" s="67" customFormat="1" ht="12" customHeight="1" x14ac:dyDescent="0.2">
      <c r="A310" s="1" t="s">
        <v>149</v>
      </c>
      <c r="B310" s="1"/>
      <c r="C310" s="1" t="s">
        <v>437</v>
      </c>
      <c r="D310" s="1"/>
      <c r="E310" s="48">
        <v>17119.63</v>
      </c>
      <c r="F310" s="48"/>
      <c r="G310" s="48">
        <v>0</v>
      </c>
      <c r="H310" s="48"/>
      <c r="I310" s="48">
        <v>46520.98</v>
      </c>
      <c r="J310" s="48"/>
      <c r="K310" s="48">
        <v>231.53</v>
      </c>
      <c r="L310" s="48"/>
      <c r="M310" s="48">
        <v>0</v>
      </c>
      <c r="N310" s="48"/>
      <c r="O310" s="48">
        <v>2000.21</v>
      </c>
      <c r="P310" s="48"/>
      <c r="Q310" s="48">
        <v>0</v>
      </c>
      <c r="R310" s="48"/>
      <c r="S310" s="48">
        <v>748.06</v>
      </c>
      <c r="T310" s="48"/>
      <c r="U310" s="48">
        <v>0</v>
      </c>
      <c r="V310" s="48"/>
      <c r="W310" s="48">
        <v>0</v>
      </c>
      <c r="X310" s="48"/>
      <c r="Y310" s="48">
        <v>0</v>
      </c>
      <c r="Z310" s="48"/>
      <c r="AA310" s="48">
        <v>0</v>
      </c>
      <c r="AB310" s="48"/>
      <c r="AC310" s="48">
        <v>0</v>
      </c>
      <c r="AD310" s="48"/>
      <c r="AE310" s="48">
        <v>0</v>
      </c>
      <c r="AF310" s="48"/>
      <c r="AG310" s="48">
        <v>0</v>
      </c>
      <c r="AH310" s="19">
        <f t="shared" si="14"/>
        <v>66620.41</v>
      </c>
      <c r="AI310" s="48">
        <f t="shared" si="15"/>
        <v>66620.41</v>
      </c>
      <c r="AJ310" s="5"/>
      <c r="AK310" s="1"/>
      <c r="AL310" s="1"/>
      <c r="AM310" s="1"/>
    </row>
    <row r="311" spans="1:39" s="67" customFormat="1" ht="12" customHeight="1" x14ac:dyDescent="0.2">
      <c r="A311" s="1" t="s">
        <v>106</v>
      </c>
      <c r="B311" s="1"/>
      <c r="C311" s="1" t="s">
        <v>790</v>
      </c>
      <c r="D311" s="1"/>
      <c r="E311" s="48">
        <v>49192.29</v>
      </c>
      <c r="F311" s="48"/>
      <c r="G311" s="48">
        <v>0</v>
      </c>
      <c r="H311" s="48"/>
      <c r="I311" s="48">
        <v>8323.8700000000008</v>
      </c>
      <c r="J311" s="48"/>
      <c r="K311" s="48">
        <v>0</v>
      </c>
      <c r="L311" s="48"/>
      <c r="M311" s="48">
        <v>18108.77</v>
      </c>
      <c r="N311" s="48"/>
      <c r="O311" s="48">
        <v>21455.5</v>
      </c>
      <c r="P311" s="48"/>
      <c r="Q311" s="48">
        <v>1008.98</v>
      </c>
      <c r="R311" s="48"/>
      <c r="S311" s="48">
        <v>746</v>
      </c>
      <c r="T311" s="48"/>
      <c r="U311" s="48">
        <v>0</v>
      </c>
      <c r="V311" s="48"/>
      <c r="W311" s="48">
        <v>0</v>
      </c>
      <c r="X311" s="48"/>
      <c r="Y311" s="48">
        <v>0</v>
      </c>
      <c r="Z311" s="48"/>
      <c r="AA311" s="48">
        <v>0</v>
      </c>
      <c r="AB311" s="48"/>
      <c r="AC311" s="48">
        <v>0</v>
      </c>
      <c r="AD311" s="48"/>
      <c r="AE311" s="48">
        <v>0</v>
      </c>
      <c r="AF311" s="48"/>
      <c r="AG311" s="48">
        <v>0</v>
      </c>
      <c r="AH311" s="19">
        <f t="shared" si="14"/>
        <v>98835.41</v>
      </c>
      <c r="AI311" s="48">
        <f t="shared" si="15"/>
        <v>98835.41</v>
      </c>
      <c r="AJ311" s="5"/>
      <c r="AK311" s="1"/>
      <c r="AL311" s="1"/>
      <c r="AM311" s="1"/>
    </row>
    <row r="312" spans="1:39" s="67" customFormat="1" ht="12" customHeight="1" x14ac:dyDescent="0.2">
      <c r="A312" s="1" t="s">
        <v>802</v>
      </c>
      <c r="B312" s="1"/>
      <c r="C312" s="1" t="s">
        <v>379</v>
      </c>
      <c r="D312" s="1"/>
      <c r="E312" s="48">
        <v>13622.33</v>
      </c>
      <c r="F312" s="48"/>
      <c r="G312" s="48">
        <v>375091.22</v>
      </c>
      <c r="H312" s="48"/>
      <c r="I312" s="48">
        <v>26464.07</v>
      </c>
      <c r="J312" s="48"/>
      <c r="K312" s="48">
        <v>13959.88</v>
      </c>
      <c r="L312" s="48"/>
      <c r="M312" s="48">
        <v>18</v>
      </c>
      <c r="N312" s="48"/>
      <c r="O312" s="48">
        <v>3677</v>
      </c>
      <c r="P312" s="48"/>
      <c r="Q312" s="48">
        <v>2669.73</v>
      </c>
      <c r="R312" s="48"/>
      <c r="S312" s="48">
        <v>14480.72</v>
      </c>
      <c r="T312" s="48"/>
      <c r="U312" s="48">
        <v>0</v>
      </c>
      <c r="V312" s="48"/>
      <c r="W312" s="48">
        <v>0</v>
      </c>
      <c r="X312" s="48"/>
      <c r="Y312" s="48">
        <v>0</v>
      </c>
      <c r="Z312" s="48"/>
      <c r="AA312" s="48">
        <v>0</v>
      </c>
      <c r="AB312" s="48"/>
      <c r="AC312" s="48">
        <v>0</v>
      </c>
      <c r="AD312" s="48"/>
      <c r="AE312" s="48">
        <v>0</v>
      </c>
      <c r="AF312" s="48"/>
      <c r="AG312" s="48">
        <v>0</v>
      </c>
      <c r="AH312" s="19">
        <f t="shared" si="14"/>
        <v>449982.94999999995</v>
      </c>
      <c r="AI312" s="48">
        <f t="shared" si="15"/>
        <v>449982.94999999995</v>
      </c>
      <c r="AJ312" s="5"/>
      <c r="AK312" s="4"/>
      <c r="AL312" s="4"/>
      <c r="AM312" s="4"/>
    </row>
    <row r="313" spans="1:39" ht="12" customHeight="1" x14ac:dyDescent="0.2">
      <c r="A313" s="1" t="s">
        <v>28</v>
      </c>
      <c r="C313" s="1" t="s">
        <v>57</v>
      </c>
      <c r="E313" s="48">
        <v>7852.16</v>
      </c>
      <c r="F313" s="48"/>
      <c r="G313" s="48">
        <v>0</v>
      </c>
      <c r="H313" s="48"/>
      <c r="I313" s="48">
        <v>16192.49</v>
      </c>
      <c r="J313" s="48"/>
      <c r="K313" s="48">
        <v>0</v>
      </c>
      <c r="L313" s="48"/>
      <c r="M313" s="48">
        <v>0</v>
      </c>
      <c r="N313" s="48"/>
      <c r="O313" s="48">
        <v>0</v>
      </c>
      <c r="P313" s="48"/>
      <c r="Q313" s="48">
        <v>10.6</v>
      </c>
      <c r="R313" s="48"/>
      <c r="S313" s="48">
        <v>0</v>
      </c>
      <c r="T313" s="48"/>
      <c r="U313" s="48">
        <v>0</v>
      </c>
      <c r="V313" s="48"/>
      <c r="W313" s="48">
        <v>0</v>
      </c>
      <c r="X313" s="48"/>
      <c r="Y313" s="48">
        <v>0</v>
      </c>
      <c r="Z313" s="48"/>
      <c r="AA313" s="48">
        <v>0</v>
      </c>
      <c r="AB313" s="48"/>
      <c r="AC313" s="48">
        <v>0</v>
      </c>
      <c r="AD313" s="48"/>
      <c r="AE313" s="48">
        <v>0</v>
      </c>
      <c r="AF313" s="48"/>
      <c r="AG313" s="48">
        <v>0</v>
      </c>
      <c r="AH313" s="19">
        <f t="shared" ref="AH313:AH351" si="16">SUM(D313:AF313)</f>
        <v>24055.25</v>
      </c>
      <c r="AI313" s="48">
        <f t="shared" si="15"/>
        <v>24055.25</v>
      </c>
      <c r="AJ313" s="5"/>
    </row>
    <row r="314" spans="1:39" ht="12" customHeight="1" x14ac:dyDescent="0.2">
      <c r="A314" s="1" t="s">
        <v>41</v>
      </c>
      <c r="C314" s="1" t="s">
        <v>283</v>
      </c>
      <c r="E314" s="48">
        <v>45890.8</v>
      </c>
      <c r="F314" s="48"/>
      <c r="G314" s="48">
        <v>0</v>
      </c>
      <c r="H314" s="48"/>
      <c r="I314" s="48">
        <v>55741.35</v>
      </c>
      <c r="J314" s="48"/>
      <c r="K314" s="48">
        <v>0</v>
      </c>
      <c r="L314" s="48"/>
      <c r="M314" s="48">
        <v>10100</v>
      </c>
      <c r="N314" s="48"/>
      <c r="O314" s="48">
        <v>36414.85</v>
      </c>
      <c r="P314" s="48"/>
      <c r="Q314" s="48">
        <v>154.71</v>
      </c>
      <c r="R314" s="48"/>
      <c r="S314" s="48">
        <v>7307.34</v>
      </c>
      <c r="T314" s="48"/>
      <c r="U314" s="48">
        <v>0</v>
      </c>
      <c r="V314" s="48"/>
      <c r="W314" s="48">
        <v>0</v>
      </c>
      <c r="X314" s="48"/>
      <c r="Y314" s="48">
        <v>475</v>
      </c>
      <c r="Z314" s="48"/>
      <c r="AA314" s="48">
        <v>410000</v>
      </c>
      <c r="AB314" s="48"/>
      <c r="AC314" s="48">
        <v>15800</v>
      </c>
      <c r="AD314" s="48"/>
      <c r="AE314" s="48">
        <v>2780.38</v>
      </c>
      <c r="AF314" s="48"/>
      <c r="AG314" s="48">
        <v>13995</v>
      </c>
      <c r="AH314" s="19">
        <f t="shared" si="16"/>
        <v>584664.43000000005</v>
      </c>
      <c r="AI314" s="48">
        <f t="shared" ref="AI314:AI351" si="17">SUM(E314:AG314)</f>
        <v>598659.43000000005</v>
      </c>
      <c r="AJ314" s="5"/>
      <c r="AK314" s="87"/>
      <c r="AL314" s="87"/>
      <c r="AM314" s="87"/>
    </row>
    <row r="315" spans="1:39" s="67" customFormat="1" ht="12" customHeight="1" x14ac:dyDescent="0.2">
      <c r="A315" s="1" t="s">
        <v>771</v>
      </c>
      <c r="B315" s="1"/>
      <c r="C315" s="1" t="s">
        <v>476</v>
      </c>
      <c r="D315" s="1"/>
      <c r="E315" s="48">
        <v>171704</v>
      </c>
      <c r="F315" s="48"/>
      <c r="G315" s="48">
        <v>2130447</v>
      </c>
      <c r="H315" s="48"/>
      <c r="I315" s="48">
        <v>0</v>
      </c>
      <c r="J315" s="48"/>
      <c r="K315" s="48">
        <v>0</v>
      </c>
      <c r="L315" s="48"/>
      <c r="M315" s="48">
        <v>44345</v>
      </c>
      <c r="N315" s="48"/>
      <c r="O315" s="48">
        <v>11118</v>
      </c>
      <c r="P315" s="48"/>
      <c r="Q315" s="48">
        <v>0</v>
      </c>
      <c r="R315" s="48"/>
      <c r="S315" s="48">
        <v>31393</v>
      </c>
      <c r="T315" s="48"/>
      <c r="U315" s="48">
        <v>0</v>
      </c>
      <c r="V315" s="48"/>
      <c r="W315" s="48">
        <v>0</v>
      </c>
      <c r="X315" s="48"/>
      <c r="Y315" s="48">
        <v>0</v>
      </c>
      <c r="Z315" s="48"/>
      <c r="AA315" s="48">
        <v>1160778</v>
      </c>
      <c r="AB315" s="48"/>
      <c r="AC315" s="48">
        <v>0</v>
      </c>
      <c r="AD315" s="48"/>
      <c r="AE315" s="48">
        <v>0</v>
      </c>
      <c r="AF315" s="48"/>
      <c r="AG315" s="48">
        <v>0</v>
      </c>
      <c r="AH315" s="19">
        <f t="shared" si="16"/>
        <v>3549785</v>
      </c>
      <c r="AI315" s="48">
        <f t="shared" si="17"/>
        <v>3549785</v>
      </c>
      <c r="AJ315" s="5"/>
      <c r="AK315" s="1"/>
      <c r="AL315" s="1"/>
      <c r="AM315" s="1"/>
    </row>
    <row r="316" spans="1:39" s="6" customFormat="1" ht="12" customHeight="1" x14ac:dyDescent="0.2">
      <c r="A316" s="1" t="s">
        <v>471</v>
      </c>
      <c r="B316" s="1"/>
      <c r="C316" s="1" t="s">
        <v>472</v>
      </c>
      <c r="D316" s="1"/>
      <c r="E316" s="48">
        <v>92280</v>
      </c>
      <c r="F316" s="48"/>
      <c r="G316" s="48">
        <v>816195</v>
      </c>
      <c r="H316" s="48"/>
      <c r="I316" s="48">
        <v>60412</v>
      </c>
      <c r="J316" s="48"/>
      <c r="K316" s="48">
        <v>0</v>
      </c>
      <c r="L316" s="48"/>
      <c r="M316" s="48">
        <v>285567</v>
      </c>
      <c r="N316" s="48"/>
      <c r="O316" s="48">
        <v>1196</v>
      </c>
      <c r="P316" s="48"/>
      <c r="Q316" s="48">
        <v>638</v>
      </c>
      <c r="R316" s="48"/>
      <c r="S316" s="48">
        <v>7250</v>
      </c>
      <c r="T316" s="48"/>
      <c r="U316" s="48">
        <v>0</v>
      </c>
      <c r="V316" s="48"/>
      <c r="W316" s="48">
        <v>0</v>
      </c>
      <c r="X316" s="48"/>
      <c r="Y316" s="48">
        <v>0</v>
      </c>
      <c r="Z316" s="48"/>
      <c r="AA316" s="48">
        <v>213619</v>
      </c>
      <c r="AB316" s="48"/>
      <c r="AC316" s="48">
        <v>0</v>
      </c>
      <c r="AD316" s="48"/>
      <c r="AE316" s="48">
        <v>13304</v>
      </c>
      <c r="AF316" s="48"/>
      <c r="AG316" s="48">
        <v>0</v>
      </c>
      <c r="AH316" s="19">
        <f t="shared" si="16"/>
        <v>1490461</v>
      </c>
      <c r="AI316" s="48">
        <f t="shared" si="17"/>
        <v>1490461</v>
      </c>
      <c r="AJ316" s="5"/>
      <c r="AK316" s="1"/>
      <c r="AL316" s="1"/>
      <c r="AM316" s="1"/>
    </row>
    <row r="317" spans="1:39" ht="12" customHeight="1" x14ac:dyDescent="0.2">
      <c r="A317" s="1" t="s">
        <v>482</v>
      </c>
      <c r="C317" s="1" t="s">
        <v>481</v>
      </c>
      <c r="E317" s="48">
        <v>1932648</v>
      </c>
      <c r="F317" s="48"/>
      <c r="G317" s="48">
        <v>0</v>
      </c>
      <c r="H317" s="48"/>
      <c r="I317" s="48">
        <v>0</v>
      </c>
      <c r="J317" s="48"/>
      <c r="K317" s="48">
        <v>0</v>
      </c>
      <c r="L317" s="48"/>
      <c r="M317" s="48">
        <v>15920</v>
      </c>
      <c r="N317" s="48"/>
      <c r="O317" s="48">
        <v>53621</v>
      </c>
      <c r="P317" s="48"/>
      <c r="Q317" s="48">
        <v>4163</v>
      </c>
      <c r="R317" s="48"/>
      <c r="S317" s="48">
        <v>41524</v>
      </c>
      <c r="T317" s="48"/>
      <c r="U317" s="48">
        <v>0</v>
      </c>
      <c r="V317" s="48"/>
      <c r="W317" s="48">
        <v>0</v>
      </c>
      <c r="X317" s="48"/>
      <c r="Y317" s="48">
        <v>0</v>
      </c>
      <c r="Z317" s="48"/>
      <c r="AA317" s="48">
        <v>0</v>
      </c>
      <c r="AB317" s="48"/>
      <c r="AC317" s="48">
        <v>0</v>
      </c>
      <c r="AD317" s="48"/>
      <c r="AE317" s="48">
        <v>22110</v>
      </c>
      <c r="AF317" s="48"/>
      <c r="AG317" s="48">
        <v>0</v>
      </c>
      <c r="AH317" s="19">
        <f t="shared" si="16"/>
        <v>2069986</v>
      </c>
      <c r="AI317" s="48">
        <f t="shared" si="17"/>
        <v>2069986</v>
      </c>
      <c r="AJ317" s="5"/>
    </row>
    <row r="318" spans="1:39" s="6" customFormat="1" ht="12" customHeight="1" x14ac:dyDescent="0.2">
      <c r="A318" s="1" t="s">
        <v>101</v>
      </c>
      <c r="B318" s="1"/>
      <c r="C318" s="1" t="s">
        <v>377</v>
      </c>
      <c r="D318" s="1"/>
      <c r="E318" s="48">
        <v>31106.82</v>
      </c>
      <c r="F318" s="48"/>
      <c r="G318" s="48">
        <v>152654.85</v>
      </c>
      <c r="H318" s="48"/>
      <c r="I318" s="48">
        <v>28111.66</v>
      </c>
      <c r="J318" s="48"/>
      <c r="K318" s="48">
        <v>0</v>
      </c>
      <c r="L318" s="48"/>
      <c r="M318" s="48">
        <v>12451.74</v>
      </c>
      <c r="N318" s="48"/>
      <c r="O318" s="48">
        <v>9630.91</v>
      </c>
      <c r="P318" s="48"/>
      <c r="Q318" s="48">
        <v>2748.05</v>
      </c>
      <c r="R318" s="48"/>
      <c r="S318" s="48">
        <v>9075.4500000000007</v>
      </c>
      <c r="T318" s="48"/>
      <c r="U318" s="48">
        <v>0</v>
      </c>
      <c r="V318" s="48"/>
      <c r="W318" s="48">
        <v>0</v>
      </c>
      <c r="X318" s="48"/>
      <c r="Y318" s="48">
        <v>0</v>
      </c>
      <c r="Z318" s="48"/>
      <c r="AA318" s="48">
        <v>0</v>
      </c>
      <c r="AB318" s="48"/>
      <c r="AC318" s="48">
        <v>0</v>
      </c>
      <c r="AD318" s="48"/>
      <c r="AE318" s="48">
        <v>0</v>
      </c>
      <c r="AF318" s="48"/>
      <c r="AG318" s="48">
        <v>0</v>
      </c>
      <c r="AH318" s="19">
        <f t="shared" si="16"/>
        <v>245779.48</v>
      </c>
      <c r="AI318" s="48">
        <f t="shared" si="17"/>
        <v>245779.48</v>
      </c>
      <c r="AJ318" s="5"/>
      <c r="AK318" s="1"/>
      <c r="AL318" s="1"/>
      <c r="AM318" s="1"/>
    </row>
    <row r="319" spans="1:39" ht="12" customHeight="1" x14ac:dyDescent="0.2">
      <c r="A319" s="1" t="s">
        <v>211</v>
      </c>
      <c r="C319" s="1" t="s">
        <v>502</v>
      </c>
      <c r="E319" s="48">
        <v>11117.85</v>
      </c>
      <c r="F319" s="48"/>
      <c r="G319" s="48">
        <v>0</v>
      </c>
      <c r="H319" s="48"/>
      <c r="I319" s="48">
        <v>0</v>
      </c>
      <c r="J319" s="48"/>
      <c r="K319" s="48">
        <v>0</v>
      </c>
      <c r="L319" s="48"/>
      <c r="M319" s="48">
        <v>1435</v>
      </c>
      <c r="N319" s="48"/>
      <c r="O319" s="48">
        <v>2631.59</v>
      </c>
      <c r="P319" s="48"/>
      <c r="Q319" s="48">
        <v>6.42</v>
      </c>
      <c r="R319" s="48"/>
      <c r="S319" s="48">
        <v>225</v>
      </c>
      <c r="T319" s="48"/>
      <c r="U319" s="48">
        <v>0</v>
      </c>
      <c r="V319" s="48"/>
      <c r="W319" s="48">
        <v>0</v>
      </c>
      <c r="X319" s="48"/>
      <c r="Y319" s="48">
        <v>0</v>
      </c>
      <c r="Z319" s="48"/>
      <c r="AA319" s="48">
        <v>0</v>
      </c>
      <c r="AB319" s="48"/>
      <c r="AC319" s="48">
        <v>0</v>
      </c>
      <c r="AD319" s="48"/>
      <c r="AE319" s="48">
        <v>0</v>
      </c>
      <c r="AF319" s="48"/>
      <c r="AG319" s="48">
        <v>0</v>
      </c>
      <c r="AH319" s="19">
        <f t="shared" si="16"/>
        <v>15415.86</v>
      </c>
      <c r="AI319" s="48">
        <f t="shared" si="17"/>
        <v>15415.86</v>
      </c>
      <c r="AJ319" s="5"/>
    </row>
    <row r="320" spans="1:39" ht="12" customHeight="1" x14ac:dyDescent="0.2">
      <c r="A320" s="1" t="s">
        <v>356</v>
      </c>
      <c r="C320" s="1" t="s">
        <v>351</v>
      </c>
      <c r="E320" s="48">
        <v>344402</v>
      </c>
      <c r="F320" s="48"/>
      <c r="G320" s="48">
        <v>543994</v>
      </c>
      <c r="H320" s="48"/>
      <c r="I320" s="48">
        <v>222872</v>
      </c>
      <c r="J320" s="48"/>
      <c r="K320" s="48">
        <v>122</v>
      </c>
      <c r="L320" s="48"/>
      <c r="M320" s="48">
        <v>102332</v>
      </c>
      <c r="N320" s="48"/>
      <c r="O320" s="48">
        <v>256676</v>
      </c>
      <c r="P320" s="48"/>
      <c r="Q320" s="48">
        <v>37</v>
      </c>
      <c r="R320" s="48"/>
      <c r="S320" s="48">
        <v>46282</v>
      </c>
      <c r="T320" s="48"/>
      <c r="U320" s="48">
        <v>0</v>
      </c>
      <c r="V320" s="48"/>
      <c r="W320" s="48">
        <v>0</v>
      </c>
      <c r="X320" s="48"/>
      <c r="Y320" s="48">
        <v>0</v>
      </c>
      <c r="Z320" s="48"/>
      <c r="AA320" s="48">
        <v>0</v>
      </c>
      <c r="AB320" s="48"/>
      <c r="AC320" s="48">
        <v>0</v>
      </c>
      <c r="AD320" s="48"/>
      <c r="AE320" s="48">
        <v>0</v>
      </c>
      <c r="AF320" s="48"/>
      <c r="AG320" s="48">
        <v>0</v>
      </c>
      <c r="AH320" s="19">
        <f t="shared" si="16"/>
        <v>1516717</v>
      </c>
      <c r="AI320" s="48">
        <f t="shared" si="17"/>
        <v>1516717</v>
      </c>
      <c r="AJ320" s="5"/>
      <c r="AK320" s="4"/>
      <c r="AL320" s="4"/>
      <c r="AM320" s="4"/>
    </row>
    <row r="321" spans="1:39" s="6" customFormat="1" ht="12" customHeight="1" x14ac:dyDescent="0.2">
      <c r="A321" s="1" t="s">
        <v>200</v>
      </c>
      <c r="B321" s="1"/>
      <c r="C321" s="1" t="s">
        <v>487</v>
      </c>
      <c r="D321" s="1"/>
      <c r="E321" s="48">
        <v>37523.19</v>
      </c>
      <c r="F321" s="48"/>
      <c r="G321" s="48">
        <v>0</v>
      </c>
      <c r="H321" s="48"/>
      <c r="I321" s="48">
        <v>23333.33</v>
      </c>
      <c r="J321" s="48"/>
      <c r="K321" s="48">
        <v>0</v>
      </c>
      <c r="L321" s="48"/>
      <c r="M321" s="48">
        <v>0</v>
      </c>
      <c r="N321" s="48"/>
      <c r="O321" s="48">
        <v>60</v>
      </c>
      <c r="P321" s="48"/>
      <c r="Q321" s="48">
        <v>94.52</v>
      </c>
      <c r="R321" s="48"/>
      <c r="S321" s="48">
        <v>2597.23</v>
      </c>
      <c r="T321" s="48"/>
      <c r="U321" s="48">
        <v>0</v>
      </c>
      <c r="V321" s="48"/>
      <c r="W321" s="48">
        <v>0</v>
      </c>
      <c r="X321" s="48"/>
      <c r="Y321" s="48">
        <v>0</v>
      </c>
      <c r="Z321" s="48"/>
      <c r="AA321" s="48">
        <v>0</v>
      </c>
      <c r="AB321" s="48"/>
      <c r="AC321" s="48">
        <v>0</v>
      </c>
      <c r="AD321" s="48"/>
      <c r="AE321" s="48">
        <v>0</v>
      </c>
      <c r="AF321" s="48"/>
      <c r="AG321" s="48">
        <v>0</v>
      </c>
      <c r="AH321" s="19">
        <f t="shared" si="16"/>
        <v>63608.270000000004</v>
      </c>
      <c r="AI321" s="48">
        <f t="shared" si="17"/>
        <v>63608.270000000004</v>
      </c>
      <c r="AJ321" s="5"/>
      <c r="AK321" s="67"/>
      <c r="AL321" s="67"/>
      <c r="AM321" s="67"/>
    </row>
    <row r="322" spans="1:39" s="6" customFormat="1" ht="12" customHeight="1" x14ac:dyDescent="0.2">
      <c r="A322" s="1" t="s">
        <v>716</v>
      </c>
      <c r="B322" s="1"/>
      <c r="C322" s="1" t="s">
        <v>293</v>
      </c>
      <c r="D322" s="1"/>
      <c r="E322" s="48">
        <v>6105.38</v>
      </c>
      <c r="F322" s="48"/>
      <c r="G322" s="48">
        <v>66801.7</v>
      </c>
      <c r="H322" s="48"/>
      <c r="I322" s="48">
        <v>1107.96</v>
      </c>
      <c r="J322" s="48"/>
      <c r="K322" s="48">
        <v>0</v>
      </c>
      <c r="L322" s="48"/>
      <c r="M322" s="48">
        <v>3440</v>
      </c>
      <c r="N322" s="48"/>
      <c r="O322" s="48">
        <v>447732.8</v>
      </c>
      <c r="P322" s="48"/>
      <c r="Q322" s="48">
        <v>0.52</v>
      </c>
      <c r="R322" s="48"/>
      <c r="S322" s="48">
        <v>40671.85</v>
      </c>
      <c r="T322" s="48"/>
      <c r="U322" s="48">
        <v>0</v>
      </c>
      <c r="V322" s="48"/>
      <c r="W322" s="48">
        <v>0</v>
      </c>
      <c r="X322" s="48"/>
      <c r="Y322" s="48">
        <v>0</v>
      </c>
      <c r="Z322" s="48"/>
      <c r="AA322" s="48">
        <v>31000</v>
      </c>
      <c r="AB322" s="48"/>
      <c r="AC322" s="48">
        <v>33272.32</v>
      </c>
      <c r="AD322" s="48"/>
      <c r="AE322" s="48">
        <v>0</v>
      </c>
      <c r="AF322" s="48"/>
      <c r="AG322" s="48">
        <v>0</v>
      </c>
      <c r="AH322" s="19">
        <f t="shared" si="16"/>
        <v>630132.52999999991</v>
      </c>
      <c r="AI322" s="48">
        <f t="shared" si="17"/>
        <v>630132.52999999991</v>
      </c>
      <c r="AJ322" s="5"/>
      <c r="AK322" s="67"/>
      <c r="AL322" s="67"/>
      <c r="AM322" s="67"/>
    </row>
    <row r="323" spans="1:39" ht="12" customHeight="1" x14ac:dyDescent="0.2">
      <c r="A323" s="1" t="s">
        <v>42</v>
      </c>
      <c r="C323" s="1" t="s">
        <v>283</v>
      </c>
      <c r="E323" s="48">
        <v>106389.09</v>
      </c>
      <c r="F323" s="48"/>
      <c r="G323" s="48">
        <v>1113891.1399999999</v>
      </c>
      <c r="H323" s="48"/>
      <c r="I323" s="48">
        <v>74937.460000000006</v>
      </c>
      <c r="J323" s="48"/>
      <c r="K323" s="48">
        <v>0</v>
      </c>
      <c r="L323" s="48"/>
      <c r="M323" s="48">
        <v>35806.559999999998</v>
      </c>
      <c r="N323" s="48"/>
      <c r="O323" s="48">
        <v>32435.919999999998</v>
      </c>
      <c r="P323" s="48"/>
      <c r="Q323" s="48">
        <v>16.190000000000001</v>
      </c>
      <c r="R323" s="48"/>
      <c r="S323" s="48">
        <v>2606.5</v>
      </c>
      <c r="T323" s="48"/>
      <c r="U323" s="48">
        <v>0</v>
      </c>
      <c r="V323" s="48"/>
      <c r="W323" s="48">
        <v>0</v>
      </c>
      <c r="X323" s="48"/>
      <c r="Y323" s="48">
        <v>0</v>
      </c>
      <c r="Z323" s="48"/>
      <c r="AA323" s="48">
        <v>0</v>
      </c>
      <c r="AB323" s="48"/>
      <c r="AC323" s="48">
        <v>40753</v>
      </c>
      <c r="AD323" s="48"/>
      <c r="AE323" s="48">
        <v>33541.089999999997</v>
      </c>
      <c r="AF323" s="48"/>
      <c r="AG323" s="48">
        <v>0</v>
      </c>
      <c r="AH323" s="19">
        <f t="shared" si="16"/>
        <v>1440376.95</v>
      </c>
      <c r="AI323" s="48">
        <f t="shared" si="17"/>
        <v>1440376.95</v>
      </c>
      <c r="AJ323" s="5"/>
    </row>
    <row r="324" spans="1:39" ht="12" customHeight="1" x14ac:dyDescent="0.2">
      <c r="A324" s="1" t="s">
        <v>803</v>
      </c>
      <c r="C324" s="1" t="s">
        <v>329</v>
      </c>
      <c r="E324" s="48">
        <v>7949.55</v>
      </c>
      <c r="F324" s="48"/>
      <c r="G324" s="48">
        <v>64518.17</v>
      </c>
      <c r="H324" s="48"/>
      <c r="I324" s="48">
        <v>22537.57</v>
      </c>
      <c r="J324" s="48"/>
      <c r="K324" s="48">
        <v>0</v>
      </c>
      <c r="L324" s="48"/>
      <c r="M324" s="48">
        <v>0</v>
      </c>
      <c r="N324" s="48"/>
      <c r="O324" s="48">
        <v>661.54</v>
      </c>
      <c r="P324" s="48"/>
      <c r="Q324" s="48">
        <v>45.74</v>
      </c>
      <c r="R324" s="48"/>
      <c r="S324" s="48">
        <v>2135.0300000000002</v>
      </c>
      <c r="T324" s="48"/>
      <c r="U324" s="48">
        <v>0</v>
      </c>
      <c r="V324" s="48"/>
      <c r="W324" s="48">
        <v>0</v>
      </c>
      <c r="X324" s="48"/>
      <c r="Y324" s="48">
        <v>0</v>
      </c>
      <c r="Z324" s="48"/>
      <c r="AA324" s="48">
        <v>0</v>
      </c>
      <c r="AB324" s="48"/>
      <c r="AC324" s="48">
        <v>0</v>
      </c>
      <c r="AD324" s="48"/>
      <c r="AE324" s="48">
        <v>0</v>
      </c>
      <c r="AF324" s="48"/>
      <c r="AG324" s="48">
        <v>0</v>
      </c>
      <c r="AH324" s="19">
        <f t="shared" si="16"/>
        <v>97847.6</v>
      </c>
      <c r="AI324" s="48">
        <f t="shared" si="17"/>
        <v>97847.6</v>
      </c>
      <c r="AJ324" s="5"/>
    </row>
    <row r="325" spans="1:39" ht="12" customHeight="1" x14ac:dyDescent="0.2">
      <c r="A325" s="1" t="s">
        <v>499</v>
      </c>
      <c r="C325" s="1" t="s">
        <v>498</v>
      </c>
      <c r="E325" s="48">
        <v>4176</v>
      </c>
      <c r="F325" s="48"/>
      <c r="G325" s="48">
        <v>0</v>
      </c>
      <c r="H325" s="48"/>
      <c r="I325" s="48">
        <v>11063</v>
      </c>
      <c r="J325" s="48"/>
      <c r="K325" s="48">
        <v>0</v>
      </c>
      <c r="L325" s="48"/>
      <c r="M325" s="48">
        <v>0</v>
      </c>
      <c r="N325" s="48"/>
      <c r="O325" s="48">
        <v>0</v>
      </c>
      <c r="P325" s="48"/>
      <c r="Q325" s="48">
        <v>750</v>
      </c>
      <c r="R325" s="48"/>
      <c r="S325" s="48">
        <v>0</v>
      </c>
      <c r="T325" s="48"/>
      <c r="U325" s="48">
        <v>0</v>
      </c>
      <c r="V325" s="48"/>
      <c r="W325" s="48">
        <v>0</v>
      </c>
      <c r="X325" s="48"/>
      <c r="Y325" s="48">
        <v>0</v>
      </c>
      <c r="Z325" s="48"/>
      <c r="AA325" s="48">
        <v>0</v>
      </c>
      <c r="AB325" s="48"/>
      <c r="AC325" s="48">
        <v>0</v>
      </c>
      <c r="AD325" s="48"/>
      <c r="AE325" s="48">
        <v>0</v>
      </c>
      <c r="AF325" s="48"/>
      <c r="AG325" s="48">
        <v>0</v>
      </c>
      <c r="AH325" s="19">
        <f t="shared" si="16"/>
        <v>15989</v>
      </c>
      <c r="AI325" s="48">
        <f t="shared" si="17"/>
        <v>15989</v>
      </c>
      <c r="AJ325" s="5"/>
      <c r="AK325" s="87"/>
      <c r="AL325" s="87"/>
      <c r="AM325" s="87"/>
    </row>
    <row r="326" spans="1:39" s="67" customFormat="1" ht="12" customHeight="1" x14ac:dyDescent="0.2">
      <c r="A326" s="1" t="s">
        <v>90</v>
      </c>
      <c r="B326" s="1"/>
      <c r="C326" s="1" t="s">
        <v>351</v>
      </c>
      <c r="D326" s="1"/>
      <c r="E326" s="48">
        <v>186748.23</v>
      </c>
      <c r="F326" s="48"/>
      <c r="G326" s="48">
        <v>2276998.96</v>
      </c>
      <c r="H326" s="48"/>
      <c r="I326" s="48">
        <v>57415.76</v>
      </c>
      <c r="J326" s="48"/>
      <c r="K326" s="48">
        <v>0</v>
      </c>
      <c r="L326" s="48"/>
      <c r="M326" s="48">
        <v>1191610.95</v>
      </c>
      <c r="N326" s="48"/>
      <c r="O326" s="48">
        <v>686765.86</v>
      </c>
      <c r="P326" s="48"/>
      <c r="Q326" s="48">
        <v>141.83000000000001</v>
      </c>
      <c r="R326" s="48"/>
      <c r="S326" s="48">
        <v>156207.81</v>
      </c>
      <c r="T326" s="48"/>
      <c r="U326" s="48">
        <v>0</v>
      </c>
      <c r="V326" s="48"/>
      <c r="W326" s="48">
        <v>0</v>
      </c>
      <c r="X326" s="48"/>
      <c r="Y326" s="48">
        <v>0</v>
      </c>
      <c r="Z326" s="48"/>
      <c r="AA326" s="48">
        <v>0</v>
      </c>
      <c r="AB326" s="48"/>
      <c r="AC326" s="48">
        <v>0</v>
      </c>
      <c r="AD326" s="48"/>
      <c r="AE326" s="48">
        <v>499474.6</v>
      </c>
      <c r="AF326" s="48"/>
      <c r="AG326" s="48">
        <v>0</v>
      </c>
      <c r="AH326" s="19">
        <f t="shared" si="16"/>
        <v>5055363.9999999991</v>
      </c>
      <c r="AI326" s="48">
        <f t="shared" si="17"/>
        <v>5055363.9999999991</v>
      </c>
      <c r="AJ326" s="5"/>
      <c r="AK326" s="1"/>
      <c r="AL326" s="1"/>
      <c r="AM326" s="1"/>
    </row>
    <row r="327" spans="1:39" s="67" customFormat="1" ht="12" customHeight="1" x14ac:dyDescent="0.2">
      <c r="A327" s="1" t="s">
        <v>822</v>
      </c>
      <c r="B327" s="1"/>
      <c r="C327" s="1" t="s">
        <v>823</v>
      </c>
      <c r="D327" s="1"/>
      <c r="E327" s="48">
        <v>550665</v>
      </c>
      <c r="F327" s="48"/>
      <c r="G327" s="48">
        <v>0</v>
      </c>
      <c r="H327" s="48"/>
      <c r="I327" s="48">
        <v>172575</v>
      </c>
      <c r="J327" s="48"/>
      <c r="K327" s="48">
        <v>0</v>
      </c>
      <c r="L327" s="48"/>
      <c r="M327" s="48">
        <v>342462</v>
      </c>
      <c r="N327" s="48"/>
      <c r="O327" s="48">
        <v>4046</v>
      </c>
      <c r="P327" s="48"/>
      <c r="Q327" s="48">
        <v>8071</v>
      </c>
      <c r="R327" s="48"/>
      <c r="S327" s="48">
        <v>0</v>
      </c>
      <c r="T327" s="48"/>
      <c r="U327" s="48">
        <v>0</v>
      </c>
      <c r="V327" s="48"/>
      <c r="W327" s="48">
        <v>0</v>
      </c>
      <c r="X327" s="48"/>
      <c r="Y327" s="48">
        <v>0</v>
      </c>
      <c r="Z327" s="48"/>
      <c r="AA327" s="48">
        <v>0</v>
      </c>
      <c r="AB327" s="48"/>
      <c r="AC327" s="48">
        <v>0</v>
      </c>
      <c r="AD327" s="48"/>
      <c r="AE327" s="48">
        <v>18289</v>
      </c>
      <c r="AF327" s="48"/>
      <c r="AG327" s="48">
        <v>0</v>
      </c>
      <c r="AH327" s="19">
        <f t="shared" si="16"/>
        <v>1096108</v>
      </c>
      <c r="AI327" s="48">
        <f t="shared" si="17"/>
        <v>1096108</v>
      </c>
      <c r="AJ327" s="5"/>
      <c r="AK327" s="1"/>
      <c r="AL327" s="1"/>
      <c r="AM327" s="1"/>
    </row>
    <row r="328" spans="1:39" s="67" customFormat="1" ht="12" customHeight="1" x14ac:dyDescent="0.2">
      <c r="A328" s="1" t="s">
        <v>516</v>
      </c>
      <c r="B328" s="1"/>
      <c r="C328" s="1" t="s">
        <v>517</v>
      </c>
      <c r="D328" s="1"/>
      <c r="E328" s="48">
        <v>115586</v>
      </c>
      <c r="F328" s="48"/>
      <c r="G328" s="48">
        <v>1313382</v>
      </c>
      <c r="H328" s="48"/>
      <c r="I328" s="48">
        <v>130846</v>
      </c>
      <c r="J328" s="48"/>
      <c r="K328" s="48">
        <v>0</v>
      </c>
      <c r="L328" s="48"/>
      <c r="M328" s="48">
        <v>180538</v>
      </c>
      <c r="N328" s="48"/>
      <c r="O328" s="48">
        <v>221508</v>
      </c>
      <c r="P328" s="48"/>
      <c r="Q328" s="48">
        <v>6068</v>
      </c>
      <c r="R328" s="48"/>
      <c r="S328" s="48">
        <v>4386</v>
      </c>
      <c r="T328" s="48"/>
      <c r="U328" s="48">
        <v>0</v>
      </c>
      <c r="V328" s="48"/>
      <c r="W328" s="48">
        <v>0</v>
      </c>
      <c r="X328" s="48"/>
      <c r="Y328" s="48">
        <v>0</v>
      </c>
      <c r="Z328" s="48"/>
      <c r="AA328" s="48">
        <v>100</v>
      </c>
      <c r="AB328" s="48"/>
      <c r="AC328" s="48">
        <v>0</v>
      </c>
      <c r="AD328" s="48"/>
      <c r="AE328" s="48">
        <v>0</v>
      </c>
      <c r="AF328" s="48"/>
      <c r="AG328" s="48">
        <v>0</v>
      </c>
      <c r="AH328" s="19">
        <f t="shared" si="16"/>
        <v>1972414</v>
      </c>
      <c r="AI328" s="48">
        <f t="shared" si="17"/>
        <v>1972414</v>
      </c>
      <c r="AJ328" s="5"/>
      <c r="AK328" s="1"/>
      <c r="AL328" s="1"/>
      <c r="AM328" s="1"/>
    </row>
    <row r="329" spans="1:39" s="67" customFormat="1" ht="12" customHeight="1" x14ac:dyDescent="0.2">
      <c r="A329" s="1" t="s">
        <v>83</v>
      </c>
      <c r="B329" s="1"/>
      <c r="C329" s="1" t="s">
        <v>349</v>
      </c>
      <c r="D329" s="1"/>
      <c r="E329" s="48">
        <v>23167.37</v>
      </c>
      <c r="F329" s="48"/>
      <c r="G329" s="48">
        <v>0</v>
      </c>
      <c r="H329" s="48"/>
      <c r="I329" s="48">
        <v>16131.07</v>
      </c>
      <c r="J329" s="48"/>
      <c r="K329" s="48">
        <v>30.17</v>
      </c>
      <c r="L329" s="48"/>
      <c r="M329" s="48">
        <v>0</v>
      </c>
      <c r="N329" s="48"/>
      <c r="O329" s="48">
        <v>0</v>
      </c>
      <c r="P329" s="48"/>
      <c r="Q329" s="48">
        <v>70.36</v>
      </c>
      <c r="R329" s="48"/>
      <c r="S329" s="48">
        <v>11218.86</v>
      </c>
      <c r="T329" s="48"/>
      <c r="U329" s="48">
        <v>0</v>
      </c>
      <c r="V329" s="48"/>
      <c r="W329" s="48">
        <v>0</v>
      </c>
      <c r="X329" s="48"/>
      <c r="Y329" s="48">
        <v>0</v>
      </c>
      <c r="Z329" s="48"/>
      <c r="AA329" s="48">
        <v>0</v>
      </c>
      <c r="AB329" s="48"/>
      <c r="AC329" s="48">
        <v>0</v>
      </c>
      <c r="AD329" s="48"/>
      <c r="AE329" s="48">
        <v>0</v>
      </c>
      <c r="AF329" s="48"/>
      <c r="AG329" s="48">
        <v>446.86</v>
      </c>
      <c r="AH329" s="19">
        <f t="shared" si="16"/>
        <v>50617.83</v>
      </c>
      <c r="AI329" s="48">
        <f t="shared" si="17"/>
        <v>51064.69</v>
      </c>
      <c r="AJ329" s="5"/>
    </row>
    <row r="330" spans="1:39" ht="12" customHeight="1" x14ac:dyDescent="0.2">
      <c r="A330" s="1" t="s">
        <v>786</v>
      </c>
      <c r="C330" s="1" t="s">
        <v>848</v>
      </c>
      <c r="E330" s="48">
        <v>149033.14000000001</v>
      </c>
      <c r="F330" s="48"/>
      <c r="G330" s="48">
        <v>1043051.28</v>
      </c>
      <c r="H330" s="48"/>
      <c r="I330" s="48">
        <v>117313.23</v>
      </c>
      <c r="J330" s="48"/>
      <c r="K330" s="48">
        <v>0</v>
      </c>
      <c r="L330" s="48"/>
      <c r="M330" s="48">
        <v>40718.239999999998</v>
      </c>
      <c r="N330" s="48"/>
      <c r="O330" s="48">
        <v>25277.5</v>
      </c>
      <c r="P330" s="48"/>
      <c r="Q330" s="48">
        <v>888.75</v>
      </c>
      <c r="R330" s="48"/>
      <c r="S330" s="48">
        <v>49770.91</v>
      </c>
      <c r="T330" s="48"/>
      <c r="U330" s="48">
        <v>0</v>
      </c>
      <c r="V330" s="48"/>
      <c r="W330" s="48">
        <v>0</v>
      </c>
      <c r="X330" s="48"/>
      <c r="Y330" s="48">
        <v>0</v>
      </c>
      <c r="Z330" s="48"/>
      <c r="AA330" s="48">
        <v>141825</v>
      </c>
      <c r="AB330" s="48"/>
      <c r="AC330" s="48">
        <v>0</v>
      </c>
      <c r="AD330" s="48"/>
      <c r="AE330" s="48">
        <v>0</v>
      </c>
      <c r="AF330" s="48"/>
      <c r="AG330" s="48">
        <v>0</v>
      </c>
      <c r="AH330" s="19">
        <f t="shared" si="16"/>
        <v>1567878.0499999998</v>
      </c>
      <c r="AI330" s="48">
        <f t="shared" si="17"/>
        <v>1567878.0499999998</v>
      </c>
      <c r="AJ330" s="5"/>
    </row>
    <row r="331" spans="1:39" ht="12" customHeight="1" x14ac:dyDescent="0.2">
      <c r="A331" s="1" t="s">
        <v>228</v>
      </c>
      <c r="C331" s="1" t="s">
        <v>545</v>
      </c>
      <c r="E331" s="48">
        <v>20747.25</v>
      </c>
      <c r="F331" s="48"/>
      <c r="G331" s="48">
        <v>0</v>
      </c>
      <c r="H331" s="48"/>
      <c r="I331" s="48">
        <v>17676.37</v>
      </c>
      <c r="J331" s="48"/>
      <c r="K331" s="48">
        <v>0</v>
      </c>
      <c r="L331" s="48"/>
      <c r="M331" s="48">
        <v>0</v>
      </c>
      <c r="N331" s="48"/>
      <c r="O331" s="48">
        <v>876</v>
      </c>
      <c r="P331" s="48"/>
      <c r="Q331" s="48">
        <v>123.1</v>
      </c>
      <c r="R331" s="48"/>
      <c r="S331" s="48">
        <v>24602.880000000001</v>
      </c>
      <c r="T331" s="48"/>
      <c r="U331" s="48">
        <v>0</v>
      </c>
      <c r="V331" s="48"/>
      <c r="W331" s="48">
        <v>0</v>
      </c>
      <c r="X331" s="48"/>
      <c r="Y331" s="48">
        <v>0</v>
      </c>
      <c r="Z331" s="48"/>
      <c r="AA331" s="48">
        <v>0</v>
      </c>
      <c r="AB331" s="48"/>
      <c r="AC331" s="48">
        <v>0</v>
      </c>
      <c r="AD331" s="48"/>
      <c r="AE331" s="48">
        <v>0</v>
      </c>
      <c r="AF331" s="48"/>
      <c r="AG331" s="48">
        <v>0</v>
      </c>
      <c r="AH331" s="19">
        <f t="shared" si="16"/>
        <v>64025.599999999991</v>
      </c>
      <c r="AI331" s="48">
        <f t="shared" si="17"/>
        <v>64025.599999999991</v>
      </c>
      <c r="AJ331" s="5"/>
      <c r="AK331" s="67"/>
      <c r="AL331" s="67"/>
      <c r="AM331" s="67"/>
    </row>
    <row r="332" spans="1:39" ht="12" customHeight="1" x14ac:dyDescent="0.2">
      <c r="A332" s="1" t="s">
        <v>723</v>
      </c>
      <c r="C332" s="1" t="s">
        <v>429</v>
      </c>
      <c r="E332" s="48">
        <v>92521.87</v>
      </c>
      <c r="F332" s="48"/>
      <c r="G332" s="48">
        <v>497855.19</v>
      </c>
      <c r="H332" s="48"/>
      <c r="I332" s="48">
        <v>47643.41</v>
      </c>
      <c r="J332" s="48"/>
      <c r="K332" s="48">
        <v>2070.6</v>
      </c>
      <c r="L332" s="48"/>
      <c r="M332" s="48">
        <v>166994.9</v>
      </c>
      <c r="N332" s="48"/>
      <c r="O332" s="48">
        <v>17444.599999999999</v>
      </c>
      <c r="P332" s="48"/>
      <c r="Q332" s="48">
        <v>41.65</v>
      </c>
      <c r="R332" s="48"/>
      <c r="S332" s="48">
        <v>0</v>
      </c>
      <c r="T332" s="48"/>
      <c r="U332" s="48">
        <v>0</v>
      </c>
      <c r="V332" s="48"/>
      <c r="W332" s="48">
        <v>0</v>
      </c>
      <c r="X332" s="48"/>
      <c r="Y332" s="48">
        <v>0</v>
      </c>
      <c r="Z332" s="48"/>
      <c r="AA332" s="48">
        <v>0</v>
      </c>
      <c r="AB332" s="48"/>
      <c r="AC332" s="48">
        <v>0</v>
      </c>
      <c r="AD332" s="48"/>
      <c r="AE332" s="48">
        <v>45320.14</v>
      </c>
      <c r="AF332" s="48"/>
      <c r="AG332" s="48">
        <v>0</v>
      </c>
      <c r="AH332" s="19">
        <f t="shared" si="16"/>
        <v>869892.3600000001</v>
      </c>
      <c r="AI332" s="48">
        <f t="shared" si="17"/>
        <v>869892.3600000001</v>
      </c>
      <c r="AJ332" s="5"/>
    </row>
    <row r="333" spans="1:39" ht="12" customHeight="1" x14ac:dyDescent="0.2">
      <c r="A333" s="1" t="s">
        <v>229</v>
      </c>
      <c r="C333" s="1" t="s">
        <v>545</v>
      </c>
      <c r="E333" s="48">
        <v>1381.94</v>
      </c>
      <c r="F333" s="48"/>
      <c r="G333" s="48">
        <v>0</v>
      </c>
      <c r="H333" s="48"/>
      <c r="I333" s="48">
        <v>10932.12</v>
      </c>
      <c r="J333" s="48"/>
      <c r="K333" s="48">
        <v>0</v>
      </c>
      <c r="L333" s="48"/>
      <c r="M333" s="48">
        <v>3425</v>
      </c>
      <c r="N333" s="48"/>
      <c r="O333" s="48">
        <v>0</v>
      </c>
      <c r="P333" s="48"/>
      <c r="Q333" s="48">
        <v>33.1</v>
      </c>
      <c r="R333" s="48"/>
      <c r="S333" s="48">
        <v>120</v>
      </c>
      <c r="T333" s="48"/>
      <c r="U333" s="48">
        <v>0</v>
      </c>
      <c r="V333" s="48"/>
      <c r="W333" s="48">
        <v>0</v>
      </c>
      <c r="X333" s="48"/>
      <c r="Y333" s="48">
        <v>0</v>
      </c>
      <c r="Z333" s="48"/>
      <c r="AA333" s="48">
        <v>0</v>
      </c>
      <c r="AB333" s="48"/>
      <c r="AC333" s="48">
        <v>0</v>
      </c>
      <c r="AD333" s="48"/>
      <c r="AE333" s="48">
        <v>0</v>
      </c>
      <c r="AF333" s="48"/>
      <c r="AG333" s="48">
        <v>0</v>
      </c>
      <c r="AH333" s="19">
        <f t="shared" si="16"/>
        <v>15892.160000000002</v>
      </c>
      <c r="AI333" s="48">
        <f t="shared" si="17"/>
        <v>15892.160000000002</v>
      </c>
      <c r="AJ333" s="5"/>
    </row>
    <row r="334" spans="1:39" s="67" customFormat="1" ht="12" customHeight="1" x14ac:dyDescent="0.2">
      <c r="A334" s="1" t="s">
        <v>423</v>
      </c>
      <c r="B334" s="1"/>
      <c r="C334" s="1" t="s">
        <v>481</v>
      </c>
      <c r="D334" s="1"/>
      <c r="E334" s="48">
        <v>26524</v>
      </c>
      <c r="F334" s="48"/>
      <c r="G334" s="48">
        <v>0</v>
      </c>
      <c r="H334" s="48"/>
      <c r="I334" s="48">
        <v>19732</v>
      </c>
      <c r="J334" s="48"/>
      <c r="K334" s="48">
        <v>0</v>
      </c>
      <c r="L334" s="48"/>
      <c r="M334" s="48">
        <v>1640</v>
      </c>
      <c r="N334" s="48"/>
      <c r="O334" s="48">
        <v>127125</v>
      </c>
      <c r="P334" s="48"/>
      <c r="Q334" s="48">
        <v>70</v>
      </c>
      <c r="R334" s="48"/>
      <c r="S334" s="48">
        <v>1607</v>
      </c>
      <c r="T334" s="48"/>
      <c r="U334" s="48">
        <v>0</v>
      </c>
      <c r="V334" s="48"/>
      <c r="W334" s="48">
        <v>0</v>
      </c>
      <c r="X334" s="48"/>
      <c r="Y334" s="48">
        <v>0</v>
      </c>
      <c r="Z334" s="48"/>
      <c r="AA334" s="48">
        <v>0</v>
      </c>
      <c r="AB334" s="48"/>
      <c r="AC334" s="48">
        <v>0</v>
      </c>
      <c r="AD334" s="48"/>
      <c r="AE334" s="48">
        <v>0</v>
      </c>
      <c r="AF334" s="48"/>
      <c r="AG334" s="48">
        <v>0</v>
      </c>
      <c r="AH334" s="19">
        <f t="shared" si="16"/>
        <v>176698</v>
      </c>
      <c r="AI334" s="48">
        <f t="shared" si="17"/>
        <v>176698</v>
      </c>
      <c r="AJ334" s="5"/>
      <c r="AK334" s="5"/>
      <c r="AL334" s="5"/>
      <c r="AM334" s="5"/>
    </row>
    <row r="335" spans="1:39" ht="12" customHeight="1" x14ac:dyDescent="0.2">
      <c r="A335" s="1" t="s">
        <v>561</v>
      </c>
      <c r="C335" s="1" t="s">
        <v>558</v>
      </c>
      <c r="E335" s="48">
        <v>52034.71</v>
      </c>
      <c r="F335" s="48"/>
      <c r="G335" s="48">
        <v>184512.42</v>
      </c>
      <c r="H335" s="48"/>
      <c r="I335" s="48">
        <v>8968.2099999999991</v>
      </c>
      <c r="J335" s="48"/>
      <c r="K335" s="48">
        <v>0</v>
      </c>
      <c r="L335" s="48"/>
      <c r="M335" s="48">
        <v>78992.570000000007</v>
      </c>
      <c r="N335" s="48"/>
      <c r="O335" s="48">
        <v>7854.85</v>
      </c>
      <c r="P335" s="48"/>
      <c r="Q335" s="48">
        <v>492.84</v>
      </c>
      <c r="R335" s="48"/>
      <c r="S335" s="48">
        <v>36019.31</v>
      </c>
      <c r="T335" s="48"/>
      <c r="U335" s="48">
        <v>0</v>
      </c>
      <c r="V335" s="48"/>
      <c r="W335" s="48">
        <v>0</v>
      </c>
      <c r="X335" s="48"/>
      <c r="Y335" s="48">
        <v>0</v>
      </c>
      <c r="Z335" s="48"/>
      <c r="AA335" s="48">
        <v>0</v>
      </c>
      <c r="AB335" s="48"/>
      <c r="AC335" s="48">
        <v>0</v>
      </c>
      <c r="AD335" s="48"/>
      <c r="AE335" s="48">
        <v>0</v>
      </c>
      <c r="AF335" s="48"/>
      <c r="AG335" s="48">
        <v>0</v>
      </c>
      <c r="AH335" s="19">
        <f t="shared" si="16"/>
        <v>368874.91000000003</v>
      </c>
      <c r="AI335" s="48">
        <f t="shared" si="17"/>
        <v>368874.91000000003</v>
      </c>
      <c r="AJ335" s="5"/>
    </row>
    <row r="336" spans="1:39" ht="12" customHeight="1" x14ac:dyDescent="0.2">
      <c r="A336" s="1" t="s">
        <v>105</v>
      </c>
      <c r="C336" s="1" t="s">
        <v>379</v>
      </c>
      <c r="E336" s="48">
        <v>101837.81</v>
      </c>
      <c r="F336" s="48"/>
      <c r="G336" s="48">
        <v>0</v>
      </c>
      <c r="H336" s="48"/>
      <c r="I336" s="48">
        <v>24944.48</v>
      </c>
      <c r="J336" s="48"/>
      <c r="K336" s="48">
        <v>1408.72</v>
      </c>
      <c r="L336" s="48"/>
      <c r="M336" s="48">
        <v>20000</v>
      </c>
      <c r="N336" s="48"/>
      <c r="O336" s="48">
        <v>16434.91</v>
      </c>
      <c r="P336" s="48"/>
      <c r="Q336" s="48">
        <v>1569.47</v>
      </c>
      <c r="R336" s="48"/>
      <c r="S336" s="48">
        <v>30875.42</v>
      </c>
      <c r="T336" s="48"/>
      <c r="U336" s="48">
        <v>0</v>
      </c>
      <c r="V336" s="48"/>
      <c r="W336" s="48">
        <v>0</v>
      </c>
      <c r="X336" s="48"/>
      <c r="Y336" s="48">
        <v>0</v>
      </c>
      <c r="Z336" s="48"/>
      <c r="AA336" s="48">
        <v>0</v>
      </c>
      <c r="AB336" s="48"/>
      <c r="AC336" s="48">
        <v>0</v>
      </c>
      <c r="AD336" s="48"/>
      <c r="AE336" s="48">
        <v>6645.17</v>
      </c>
      <c r="AF336" s="48"/>
      <c r="AG336" s="48">
        <v>0</v>
      </c>
      <c r="AH336" s="19">
        <f t="shared" si="16"/>
        <v>203715.98</v>
      </c>
      <c r="AI336" s="48">
        <f t="shared" si="17"/>
        <v>203715.98</v>
      </c>
      <c r="AJ336" s="5"/>
      <c r="AK336" s="87"/>
      <c r="AL336" s="87"/>
      <c r="AM336" s="87"/>
    </row>
    <row r="337" spans="1:39" s="67" customFormat="1" ht="12" customHeight="1" x14ac:dyDescent="0.2">
      <c r="A337" s="1" t="s">
        <v>73</v>
      </c>
      <c r="B337" s="1"/>
      <c r="C337" s="1" t="s">
        <v>332</v>
      </c>
      <c r="D337" s="1"/>
      <c r="E337" s="48">
        <v>70244.87</v>
      </c>
      <c r="F337" s="48"/>
      <c r="G337" s="48">
        <v>0</v>
      </c>
      <c r="H337" s="48"/>
      <c r="I337" s="48">
        <v>26828.33</v>
      </c>
      <c r="J337" s="48"/>
      <c r="K337" s="48">
        <v>0</v>
      </c>
      <c r="L337" s="48"/>
      <c r="M337" s="48">
        <v>0</v>
      </c>
      <c r="N337" s="48"/>
      <c r="O337" s="48">
        <v>1737.85</v>
      </c>
      <c r="P337" s="48"/>
      <c r="Q337" s="48">
        <v>268.8</v>
      </c>
      <c r="R337" s="48"/>
      <c r="S337" s="48">
        <v>7732.77</v>
      </c>
      <c r="T337" s="48"/>
      <c r="U337" s="48">
        <v>0</v>
      </c>
      <c r="V337" s="48"/>
      <c r="W337" s="48">
        <v>0</v>
      </c>
      <c r="X337" s="48"/>
      <c r="Y337" s="48">
        <v>0</v>
      </c>
      <c r="Z337" s="48"/>
      <c r="AA337" s="48">
        <v>0</v>
      </c>
      <c r="AB337" s="48"/>
      <c r="AC337" s="48">
        <v>0</v>
      </c>
      <c r="AD337" s="48"/>
      <c r="AE337" s="48">
        <v>0</v>
      </c>
      <c r="AF337" s="48"/>
      <c r="AG337" s="48">
        <v>0</v>
      </c>
      <c r="AH337" s="19">
        <f t="shared" si="16"/>
        <v>106812.62000000001</v>
      </c>
      <c r="AI337" s="48">
        <f t="shared" si="17"/>
        <v>106812.62000000001</v>
      </c>
      <c r="AJ337" s="5"/>
      <c r="AK337" s="87"/>
      <c r="AL337" s="87"/>
      <c r="AM337" s="87"/>
    </row>
    <row r="338" spans="1:39" ht="12" customHeight="1" x14ac:dyDescent="0.2">
      <c r="A338" s="1" t="s">
        <v>401</v>
      </c>
      <c r="C338" s="1" t="s">
        <v>399</v>
      </c>
      <c r="E338" s="48">
        <v>95066.99</v>
      </c>
      <c r="F338" s="48"/>
      <c r="G338" s="48">
        <v>856397.13</v>
      </c>
      <c r="H338" s="48"/>
      <c r="I338" s="48">
        <v>101059.26</v>
      </c>
      <c r="J338" s="48"/>
      <c r="K338" s="48">
        <v>0</v>
      </c>
      <c r="L338" s="48"/>
      <c r="M338" s="48">
        <v>16547.36</v>
      </c>
      <c r="N338" s="48"/>
      <c r="O338" s="48">
        <v>85971.23</v>
      </c>
      <c r="P338" s="48"/>
      <c r="Q338" s="48">
        <v>2316.3200000000002</v>
      </c>
      <c r="R338" s="48"/>
      <c r="S338" s="48">
        <v>47503</v>
      </c>
      <c r="T338" s="48"/>
      <c r="U338" s="48">
        <v>0</v>
      </c>
      <c r="V338" s="48"/>
      <c r="W338" s="48">
        <v>0</v>
      </c>
      <c r="X338" s="48"/>
      <c r="Y338" s="48">
        <v>0</v>
      </c>
      <c r="Z338" s="48"/>
      <c r="AA338" s="48">
        <v>0</v>
      </c>
      <c r="AB338" s="48"/>
      <c r="AC338" s="48">
        <v>35000</v>
      </c>
      <c r="AD338" s="48"/>
      <c r="AE338" s="48">
        <v>0</v>
      </c>
      <c r="AF338" s="48"/>
      <c r="AG338" s="48">
        <v>0</v>
      </c>
      <c r="AH338" s="19">
        <f t="shared" si="16"/>
        <v>1239861.29</v>
      </c>
      <c r="AI338" s="48">
        <f t="shared" si="17"/>
        <v>1239861.29</v>
      </c>
      <c r="AJ338" s="5"/>
      <c r="AK338" s="87"/>
      <c r="AL338" s="87"/>
      <c r="AM338" s="87"/>
    </row>
    <row r="339" spans="1:39" s="67" customFormat="1" ht="12" customHeight="1" x14ac:dyDescent="0.2">
      <c r="A339" s="1" t="s">
        <v>221</v>
      </c>
      <c r="B339" s="1"/>
      <c r="C339" s="1" t="s">
        <v>531</v>
      </c>
      <c r="D339" s="1"/>
      <c r="E339" s="48">
        <v>27545.69</v>
      </c>
      <c r="F339" s="48"/>
      <c r="G339" s="48">
        <v>0</v>
      </c>
      <c r="H339" s="48"/>
      <c r="I339" s="48">
        <v>3853.31</v>
      </c>
      <c r="J339" s="48"/>
      <c r="K339" s="48">
        <v>0</v>
      </c>
      <c r="L339" s="48"/>
      <c r="M339" s="48">
        <v>1562.77</v>
      </c>
      <c r="N339" s="48"/>
      <c r="O339" s="48">
        <v>20</v>
      </c>
      <c r="P339" s="48"/>
      <c r="Q339" s="48">
        <v>39.42</v>
      </c>
      <c r="R339" s="48"/>
      <c r="S339" s="48">
        <v>386</v>
      </c>
      <c r="T339" s="48"/>
      <c r="U339" s="48">
        <v>0</v>
      </c>
      <c r="V339" s="48"/>
      <c r="W339" s="48">
        <v>0</v>
      </c>
      <c r="X339" s="48"/>
      <c r="Y339" s="48">
        <v>0</v>
      </c>
      <c r="Z339" s="48"/>
      <c r="AA339" s="48">
        <v>0</v>
      </c>
      <c r="AB339" s="48"/>
      <c r="AC339" s="48">
        <v>0</v>
      </c>
      <c r="AD339" s="48"/>
      <c r="AE339" s="48">
        <v>0</v>
      </c>
      <c r="AF339" s="48"/>
      <c r="AG339" s="48">
        <v>0</v>
      </c>
      <c r="AH339" s="19">
        <f t="shared" si="16"/>
        <v>33407.189999999995</v>
      </c>
      <c r="AI339" s="48">
        <f t="shared" si="17"/>
        <v>33407.189999999995</v>
      </c>
      <c r="AJ339" s="5"/>
      <c r="AK339" s="1"/>
      <c r="AL339" s="1"/>
      <c r="AM339" s="1"/>
    </row>
    <row r="340" spans="1:39" s="67" customFormat="1" ht="12" customHeight="1" x14ac:dyDescent="0.2">
      <c r="A340" s="6" t="s">
        <v>506</v>
      </c>
      <c r="B340" s="6"/>
      <c r="C340" s="6" t="s">
        <v>502</v>
      </c>
      <c r="D340" s="6"/>
      <c r="E340" s="48">
        <f>124031+23851</f>
        <v>147882</v>
      </c>
      <c r="F340" s="48"/>
      <c r="G340" s="48">
        <v>0</v>
      </c>
      <c r="H340" s="48"/>
      <c r="I340" s="48">
        <v>25072</v>
      </c>
      <c r="J340" s="48"/>
      <c r="K340" s="48">
        <v>0</v>
      </c>
      <c r="L340" s="48"/>
      <c r="M340" s="48">
        <v>125535</v>
      </c>
      <c r="N340" s="48"/>
      <c r="O340" s="48">
        <f>5753+1736</f>
        <v>7489</v>
      </c>
      <c r="P340" s="48"/>
      <c r="Q340" s="48">
        <v>116</v>
      </c>
      <c r="R340" s="48"/>
      <c r="S340" s="48">
        <v>29878</v>
      </c>
      <c r="T340" s="48"/>
      <c r="U340" s="48">
        <v>14000</v>
      </c>
      <c r="V340" s="48"/>
      <c r="W340" s="48">
        <v>0</v>
      </c>
      <c r="X340" s="48"/>
      <c r="Y340" s="48">
        <v>0</v>
      </c>
      <c r="Z340" s="48"/>
      <c r="AA340" s="48">
        <v>0</v>
      </c>
      <c r="AB340" s="48"/>
      <c r="AC340" s="48">
        <v>0</v>
      </c>
      <c r="AD340" s="48"/>
      <c r="AE340" s="48">
        <v>0</v>
      </c>
      <c r="AF340" s="48"/>
      <c r="AG340" s="48">
        <v>0</v>
      </c>
      <c r="AH340" s="19">
        <f t="shared" si="16"/>
        <v>349972</v>
      </c>
      <c r="AI340" s="48">
        <f t="shared" si="17"/>
        <v>349972</v>
      </c>
      <c r="AJ340" s="5"/>
      <c r="AK340" s="87"/>
      <c r="AL340" s="87"/>
      <c r="AM340" s="87"/>
    </row>
    <row r="341" spans="1:39" s="67" customFormat="1" ht="12" customHeight="1" x14ac:dyDescent="0.2">
      <c r="A341" s="6"/>
      <c r="B341" s="6"/>
      <c r="C341" s="6"/>
      <c r="D341" s="6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19"/>
      <c r="AI341" s="48"/>
      <c r="AJ341" s="5"/>
      <c r="AK341" s="87"/>
      <c r="AL341" s="87"/>
      <c r="AM341" s="87"/>
    </row>
    <row r="342" spans="1:39" s="67" customFormat="1" ht="12" customHeight="1" x14ac:dyDescent="0.2">
      <c r="A342" s="6"/>
      <c r="B342" s="6"/>
      <c r="C342" s="6"/>
      <c r="D342" s="6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19"/>
      <c r="AI342" s="88" t="s">
        <v>733</v>
      </c>
      <c r="AJ342" s="5"/>
      <c r="AK342" s="87"/>
      <c r="AL342" s="87"/>
      <c r="AM342" s="87"/>
    </row>
    <row r="343" spans="1:39" s="67" customFormat="1" ht="12" customHeight="1" x14ac:dyDescent="0.2">
      <c r="A343" s="6"/>
      <c r="B343" s="6"/>
      <c r="C343" s="6"/>
      <c r="D343" s="6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19"/>
      <c r="AI343" s="48"/>
      <c r="AJ343" s="5"/>
      <c r="AK343" s="87"/>
      <c r="AL343" s="87"/>
      <c r="AM343" s="87"/>
    </row>
    <row r="344" spans="1:39" s="70" customFormat="1" ht="12" customHeight="1" x14ac:dyDescent="0.2">
      <c r="A344" s="1" t="s">
        <v>225</v>
      </c>
      <c r="B344" s="1"/>
      <c r="C344" s="1" t="s">
        <v>541</v>
      </c>
      <c r="D344" s="1"/>
      <c r="E344" s="68">
        <v>35079.81</v>
      </c>
      <c r="F344" s="48"/>
      <c r="G344" s="68">
        <v>357463.35</v>
      </c>
      <c r="H344" s="68"/>
      <c r="I344" s="68">
        <v>6592.2</v>
      </c>
      <c r="J344" s="68"/>
      <c r="K344" s="68">
        <v>74.55</v>
      </c>
      <c r="L344" s="68"/>
      <c r="M344" s="68">
        <v>72375.490000000005</v>
      </c>
      <c r="N344" s="68"/>
      <c r="O344" s="68">
        <v>33794.92</v>
      </c>
      <c r="P344" s="68"/>
      <c r="Q344" s="68">
        <v>739.05</v>
      </c>
      <c r="R344" s="68"/>
      <c r="S344" s="68">
        <v>1978.17</v>
      </c>
      <c r="T344" s="68"/>
      <c r="U344" s="68">
        <v>26500</v>
      </c>
      <c r="V344" s="68"/>
      <c r="W344" s="68">
        <v>0</v>
      </c>
      <c r="X344" s="68"/>
      <c r="Y344" s="68">
        <v>4320</v>
      </c>
      <c r="Z344" s="68"/>
      <c r="AA344" s="68">
        <v>0</v>
      </c>
      <c r="AB344" s="68"/>
      <c r="AC344" s="68">
        <v>0</v>
      </c>
      <c r="AD344" s="68"/>
      <c r="AE344" s="68">
        <v>0</v>
      </c>
      <c r="AF344" s="68"/>
      <c r="AG344" s="68">
        <v>0</v>
      </c>
      <c r="AH344" s="68">
        <f t="shared" si="16"/>
        <v>538917.53999999992</v>
      </c>
      <c r="AI344" s="68">
        <f t="shared" si="17"/>
        <v>538917.53999999992</v>
      </c>
      <c r="AJ344" s="5"/>
      <c r="AK344" s="1"/>
      <c r="AL344" s="1"/>
      <c r="AM344" s="1"/>
    </row>
    <row r="345" spans="1:39" s="67" customFormat="1" ht="12" customHeight="1" x14ac:dyDescent="0.2">
      <c r="A345" s="1" t="s">
        <v>102</v>
      </c>
      <c r="B345" s="1"/>
      <c r="C345" s="1" t="s">
        <v>377</v>
      </c>
      <c r="D345" s="1"/>
      <c r="E345" s="48">
        <v>6405.7</v>
      </c>
      <c r="F345" s="48"/>
      <c r="G345" s="48">
        <v>0</v>
      </c>
      <c r="H345" s="48"/>
      <c r="I345" s="48">
        <v>21613.71</v>
      </c>
      <c r="J345" s="48"/>
      <c r="K345" s="48">
        <v>0</v>
      </c>
      <c r="L345" s="48"/>
      <c r="M345" s="48">
        <v>3497.48</v>
      </c>
      <c r="N345" s="48"/>
      <c r="O345" s="48">
        <v>1635</v>
      </c>
      <c r="P345" s="48"/>
      <c r="Q345" s="48">
        <v>678.34</v>
      </c>
      <c r="R345" s="48"/>
      <c r="S345" s="48">
        <v>0</v>
      </c>
      <c r="T345" s="48"/>
      <c r="U345" s="48">
        <v>0</v>
      </c>
      <c r="V345" s="48"/>
      <c r="W345" s="48">
        <v>0</v>
      </c>
      <c r="X345" s="48"/>
      <c r="Y345" s="48">
        <v>0</v>
      </c>
      <c r="Z345" s="48"/>
      <c r="AA345" s="48">
        <v>42000</v>
      </c>
      <c r="AB345" s="48"/>
      <c r="AC345" s="48">
        <v>0</v>
      </c>
      <c r="AD345" s="48"/>
      <c r="AE345" s="48">
        <v>751.24</v>
      </c>
      <c r="AF345" s="48"/>
      <c r="AG345" s="48">
        <v>0</v>
      </c>
      <c r="AH345" s="19">
        <f t="shared" si="16"/>
        <v>76581.47</v>
      </c>
      <c r="AI345" s="48">
        <f t="shared" si="17"/>
        <v>76581.47</v>
      </c>
      <c r="AJ345" s="5"/>
      <c r="AK345" s="1"/>
      <c r="AL345" s="1"/>
      <c r="AM345" s="1"/>
    </row>
    <row r="346" spans="1:39" ht="12" customHeight="1" x14ac:dyDescent="0.2">
      <c r="A346" s="1" t="s">
        <v>804</v>
      </c>
      <c r="C346" s="1" t="s">
        <v>765</v>
      </c>
      <c r="E346" s="48">
        <v>9957.8799999999992</v>
      </c>
      <c r="F346" s="48"/>
      <c r="G346" s="48">
        <v>82510.070000000007</v>
      </c>
      <c r="H346" s="48"/>
      <c r="I346" s="48">
        <v>51112.34</v>
      </c>
      <c r="J346" s="48"/>
      <c r="K346" s="48">
        <v>0</v>
      </c>
      <c r="L346" s="48"/>
      <c r="M346" s="48">
        <v>0</v>
      </c>
      <c r="N346" s="48"/>
      <c r="O346" s="48">
        <v>7523.68</v>
      </c>
      <c r="P346" s="48"/>
      <c r="Q346" s="48">
        <v>570.78</v>
      </c>
      <c r="R346" s="48"/>
      <c r="S346" s="48">
        <v>1497.92</v>
      </c>
      <c r="T346" s="48"/>
      <c r="U346" s="48">
        <v>0</v>
      </c>
      <c r="V346" s="48"/>
      <c r="W346" s="48">
        <v>0</v>
      </c>
      <c r="X346" s="48"/>
      <c r="Y346" s="48">
        <v>0</v>
      </c>
      <c r="Z346" s="48"/>
      <c r="AA346" s="48">
        <v>0</v>
      </c>
      <c r="AB346" s="48"/>
      <c r="AC346" s="48">
        <v>0</v>
      </c>
      <c r="AD346" s="48"/>
      <c r="AE346" s="48">
        <v>0</v>
      </c>
      <c r="AF346" s="48"/>
      <c r="AG346" s="48">
        <v>0</v>
      </c>
      <c r="AH346" s="19">
        <f t="shared" si="16"/>
        <v>153172.67000000001</v>
      </c>
      <c r="AI346" s="48">
        <f t="shared" si="17"/>
        <v>153172.67000000001</v>
      </c>
      <c r="AJ346" s="5"/>
      <c r="AK346" s="87"/>
      <c r="AL346" s="87"/>
      <c r="AM346" s="87"/>
    </row>
    <row r="347" spans="1:39" ht="12" customHeight="1" x14ac:dyDescent="0.2">
      <c r="A347" s="1" t="s">
        <v>29</v>
      </c>
      <c r="C347" s="1" t="s">
        <v>57</v>
      </c>
      <c r="E347" s="48">
        <v>28112.3</v>
      </c>
      <c r="F347" s="48"/>
      <c r="G347" s="48">
        <v>178186.55</v>
      </c>
      <c r="H347" s="48"/>
      <c r="I347" s="48">
        <v>30669.31</v>
      </c>
      <c r="J347" s="48"/>
      <c r="K347" s="48">
        <v>0</v>
      </c>
      <c r="L347" s="48"/>
      <c r="M347" s="48">
        <v>9194.5</v>
      </c>
      <c r="N347" s="48"/>
      <c r="O347" s="48">
        <v>9999.52</v>
      </c>
      <c r="P347" s="48"/>
      <c r="Q347" s="48">
        <v>53.07</v>
      </c>
      <c r="R347" s="48"/>
      <c r="S347" s="48">
        <v>18628.68</v>
      </c>
      <c r="T347" s="48"/>
      <c r="U347" s="48">
        <v>0</v>
      </c>
      <c r="V347" s="48"/>
      <c r="W347" s="48">
        <v>0</v>
      </c>
      <c r="X347" s="48"/>
      <c r="Y347" s="48">
        <v>0</v>
      </c>
      <c r="Z347" s="48"/>
      <c r="AA347" s="48">
        <v>0</v>
      </c>
      <c r="AB347" s="48"/>
      <c r="AC347" s="48">
        <v>0</v>
      </c>
      <c r="AD347" s="48"/>
      <c r="AE347" s="48">
        <v>0</v>
      </c>
      <c r="AF347" s="48"/>
      <c r="AG347" s="48">
        <v>0</v>
      </c>
      <c r="AH347" s="19">
        <f t="shared" si="16"/>
        <v>274843.93</v>
      </c>
      <c r="AI347" s="48">
        <f t="shared" si="17"/>
        <v>274843.93</v>
      </c>
      <c r="AJ347" s="5"/>
      <c r="AK347" s="67"/>
      <c r="AL347" s="67"/>
      <c r="AM347" s="67"/>
    </row>
    <row r="348" spans="1:39" ht="12" customHeight="1" x14ac:dyDescent="0.2">
      <c r="A348" s="1" t="s">
        <v>791</v>
      </c>
      <c r="C348" s="1" t="s">
        <v>616</v>
      </c>
      <c r="E348" s="48">
        <v>42517.74</v>
      </c>
      <c r="F348" s="48"/>
      <c r="G348" s="48">
        <v>135377.01</v>
      </c>
      <c r="H348" s="48"/>
      <c r="I348" s="48">
        <v>27366.799999999999</v>
      </c>
      <c r="J348" s="48"/>
      <c r="K348" s="48">
        <v>0</v>
      </c>
      <c r="L348" s="48"/>
      <c r="M348" s="48">
        <v>3973.2</v>
      </c>
      <c r="N348" s="48"/>
      <c r="O348" s="48">
        <v>27989.77</v>
      </c>
      <c r="P348" s="48"/>
      <c r="Q348" s="48">
        <v>727.27</v>
      </c>
      <c r="R348" s="48"/>
      <c r="S348" s="48">
        <v>8158.4</v>
      </c>
      <c r="T348" s="48"/>
      <c r="U348" s="48">
        <v>0</v>
      </c>
      <c r="V348" s="48"/>
      <c r="W348" s="48">
        <v>0</v>
      </c>
      <c r="X348" s="48"/>
      <c r="Y348" s="48">
        <v>0</v>
      </c>
      <c r="Z348" s="48"/>
      <c r="AA348" s="48">
        <v>0</v>
      </c>
      <c r="AB348" s="48"/>
      <c r="AC348" s="48">
        <v>0</v>
      </c>
      <c r="AD348" s="48"/>
      <c r="AE348" s="48">
        <v>0</v>
      </c>
      <c r="AF348" s="48"/>
      <c r="AG348" s="48">
        <v>0</v>
      </c>
      <c r="AH348" s="19">
        <f t="shared" si="16"/>
        <v>246110.18999999997</v>
      </c>
      <c r="AI348" s="48">
        <f t="shared" si="17"/>
        <v>246110.18999999997</v>
      </c>
      <c r="AJ348" s="5"/>
    </row>
    <row r="349" spans="1:39" s="67" customFormat="1" ht="12" customHeight="1" x14ac:dyDescent="0.2">
      <c r="A349" s="1" t="s">
        <v>180</v>
      </c>
      <c r="B349" s="1"/>
      <c r="C349" s="1" t="s">
        <v>241</v>
      </c>
      <c r="D349" s="1"/>
      <c r="E349" s="48">
        <v>12286.92</v>
      </c>
      <c r="F349" s="48"/>
      <c r="G349" s="48">
        <v>567481.04</v>
      </c>
      <c r="H349" s="48"/>
      <c r="I349" s="48">
        <v>69160.740000000005</v>
      </c>
      <c r="J349" s="48"/>
      <c r="K349" s="48">
        <v>0</v>
      </c>
      <c r="L349" s="48"/>
      <c r="M349" s="48">
        <v>108480.91</v>
      </c>
      <c r="N349" s="48"/>
      <c r="O349" s="48">
        <v>32471.35</v>
      </c>
      <c r="P349" s="48"/>
      <c r="Q349" s="48">
        <v>1587.96</v>
      </c>
      <c r="R349" s="48"/>
      <c r="S349" s="48">
        <v>0</v>
      </c>
      <c r="T349" s="48"/>
      <c r="U349" s="48">
        <v>0</v>
      </c>
      <c r="V349" s="48"/>
      <c r="W349" s="48">
        <v>0</v>
      </c>
      <c r="X349" s="48"/>
      <c r="Y349" s="48">
        <v>1350</v>
      </c>
      <c r="Z349" s="48"/>
      <c r="AA349" s="48">
        <v>0</v>
      </c>
      <c r="AB349" s="48"/>
      <c r="AC349" s="48">
        <v>14009.76</v>
      </c>
      <c r="AD349" s="48"/>
      <c r="AE349" s="48">
        <v>3605.59</v>
      </c>
      <c r="AF349" s="48"/>
      <c r="AG349" s="48">
        <v>396.1</v>
      </c>
      <c r="AH349" s="19">
        <f t="shared" si="16"/>
        <v>810434.27</v>
      </c>
      <c r="AI349" s="48">
        <f t="shared" si="17"/>
        <v>810830.37</v>
      </c>
      <c r="AJ349" s="5"/>
      <c r="AK349" s="4"/>
      <c r="AL349" s="4"/>
      <c r="AM349" s="4"/>
    </row>
    <row r="350" spans="1:39" ht="12" customHeight="1" x14ac:dyDescent="0.2">
      <c r="A350" s="1" t="s">
        <v>68</v>
      </c>
      <c r="C350" s="1" t="s">
        <v>329</v>
      </c>
      <c r="E350" s="48">
        <v>43547.74</v>
      </c>
      <c r="F350" s="48"/>
      <c r="G350" s="48">
        <v>1174046.6000000001</v>
      </c>
      <c r="H350" s="48"/>
      <c r="I350" s="48">
        <v>21785.99</v>
      </c>
      <c r="J350" s="48"/>
      <c r="K350" s="48">
        <v>0</v>
      </c>
      <c r="L350" s="48"/>
      <c r="M350" s="48">
        <v>0</v>
      </c>
      <c r="N350" s="48"/>
      <c r="O350" s="48">
        <v>65732.94</v>
      </c>
      <c r="P350" s="48"/>
      <c r="Q350" s="48">
        <v>12443.45</v>
      </c>
      <c r="R350" s="48"/>
      <c r="S350" s="48">
        <v>1038.27</v>
      </c>
      <c r="T350" s="48"/>
      <c r="U350" s="48">
        <v>0</v>
      </c>
      <c r="V350" s="48"/>
      <c r="W350" s="48">
        <v>0</v>
      </c>
      <c r="X350" s="48"/>
      <c r="Y350" s="48">
        <v>0</v>
      </c>
      <c r="Z350" s="48"/>
      <c r="AA350" s="48">
        <v>0</v>
      </c>
      <c r="AB350" s="48"/>
      <c r="AC350" s="48">
        <v>0</v>
      </c>
      <c r="AD350" s="48"/>
      <c r="AE350" s="48">
        <v>0</v>
      </c>
      <c r="AF350" s="48"/>
      <c r="AG350" s="48">
        <v>0</v>
      </c>
      <c r="AH350" s="19">
        <f t="shared" si="16"/>
        <v>1318594.99</v>
      </c>
      <c r="AI350" s="48">
        <f t="shared" si="17"/>
        <v>1318594.99</v>
      </c>
      <c r="AJ350" s="5"/>
    </row>
    <row r="351" spans="1:39" s="67" customFormat="1" ht="12" customHeight="1" x14ac:dyDescent="0.2">
      <c r="A351" s="1" t="s">
        <v>711</v>
      </c>
      <c r="B351" s="1"/>
      <c r="C351" s="1" t="s">
        <v>192</v>
      </c>
      <c r="D351" s="1"/>
      <c r="E351" s="48">
        <v>410970.7</v>
      </c>
      <c r="F351" s="48"/>
      <c r="G351" s="48">
        <v>0</v>
      </c>
      <c r="H351" s="48"/>
      <c r="I351" s="48">
        <v>175065.98</v>
      </c>
      <c r="J351" s="48"/>
      <c r="K351" s="48">
        <v>0</v>
      </c>
      <c r="L351" s="48"/>
      <c r="M351" s="48">
        <v>30136</v>
      </c>
      <c r="N351" s="48"/>
      <c r="O351" s="48">
        <v>15525.73</v>
      </c>
      <c r="P351" s="48"/>
      <c r="Q351" s="48">
        <v>1899.4</v>
      </c>
      <c r="R351" s="48"/>
      <c r="S351" s="48">
        <v>60027.1</v>
      </c>
      <c r="T351" s="48"/>
      <c r="U351" s="48">
        <v>0</v>
      </c>
      <c r="V351" s="48"/>
      <c r="W351" s="48">
        <v>0</v>
      </c>
      <c r="X351" s="48"/>
      <c r="Y351" s="48">
        <v>0</v>
      </c>
      <c r="Z351" s="48"/>
      <c r="AA351" s="48">
        <v>0</v>
      </c>
      <c r="AB351" s="48"/>
      <c r="AC351" s="48">
        <v>0</v>
      </c>
      <c r="AD351" s="48"/>
      <c r="AE351" s="48">
        <v>0</v>
      </c>
      <c r="AF351" s="48"/>
      <c r="AG351" s="48">
        <v>0</v>
      </c>
      <c r="AH351" s="19">
        <f t="shared" si="16"/>
        <v>693624.91</v>
      </c>
      <c r="AI351" s="48">
        <f t="shared" si="17"/>
        <v>693624.91</v>
      </c>
      <c r="AJ351" s="5"/>
      <c r="AK351" s="4"/>
      <c r="AL351" s="4"/>
      <c r="AM351" s="4"/>
    </row>
    <row r="352" spans="1:39" ht="12" customHeight="1" x14ac:dyDescent="0.2">
      <c r="A352" s="1" t="s">
        <v>159</v>
      </c>
      <c r="C352" s="1" t="s">
        <v>226</v>
      </c>
      <c r="E352" s="48">
        <v>10743.83</v>
      </c>
      <c r="F352" s="48"/>
      <c r="G352" s="48">
        <v>0</v>
      </c>
      <c r="H352" s="48"/>
      <c r="I352" s="48">
        <v>15450.5</v>
      </c>
      <c r="J352" s="48"/>
      <c r="K352" s="48">
        <v>0</v>
      </c>
      <c r="L352" s="48"/>
      <c r="M352" s="48">
        <v>0</v>
      </c>
      <c r="N352" s="48"/>
      <c r="O352" s="48">
        <v>1797.79</v>
      </c>
      <c r="P352" s="48"/>
      <c r="Q352" s="48">
        <v>56.13</v>
      </c>
      <c r="R352" s="48"/>
      <c r="S352" s="48">
        <v>0</v>
      </c>
      <c r="T352" s="48"/>
      <c r="U352" s="48">
        <v>0</v>
      </c>
      <c r="V352" s="48"/>
      <c r="W352" s="48">
        <v>0</v>
      </c>
      <c r="X352" s="48"/>
      <c r="Y352" s="48">
        <v>0</v>
      </c>
      <c r="Z352" s="48"/>
      <c r="AA352" s="48">
        <v>0</v>
      </c>
      <c r="AB352" s="48"/>
      <c r="AC352" s="48">
        <v>0</v>
      </c>
      <c r="AD352" s="48"/>
      <c r="AE352" s="48">
        <v>50</v>
      </c>
      <c r="AF352" s="48"/>
      <c r="AG352" s="48">
        <v>0</v>
      </c>
      <c r="AH352" s="19">
        <f t="shared" ref="AH352:AH386" si="18">SUM(D352:AF352)</f>
        <v>28098.250000000004</v>
      </c>
      <c r="AI352" s="48">
        <f t="shared" ref="AI352:AI387" si="19">SUM(E352:AG352)</f>
        <v>28098.250000000004</v>
      </c>
      <c r="AJ352" s="5"/>
      <c r="AK352" s="67"/>
      <c r="AL352" s="67"/>
      <c r="AM352" s="67"/>
    </row>
    <row r="353" spans="1:39" ht="12" customHeight="1" x14ac:dyDescent="0.2">
      <c r="A353" s="5" t="s">
        <v>835</v>
      </c>
      <c r="B353" s="5"/>
      <c r="C353" s="5" t="s">
        <v>566</v>
      </c>
      <c r="D353" s="5"/>
      <c r="E353" s="48">
        <f>38+2783</f>
        <v>2821</v>
      </c>
      <c r="F353" s="48"/>
      <c r="G353" s="48">
        <v>0</v>
      </c>
      <c r="H353" s="48"/>
      <c r="I353" s="48">
        <f>332+332+825</f>
        <v>1489</v>
      </c>
      <c r="J353" s="48"/>
      <c r="K353" s="48">
        <v>0</v>
      </c>
      <c r="L353" s="48"/>
      <c r="M353" s="48">
        <v>0</v>
      </c>
      <c r="N353" s="48"/>
      <c r="O353" s="48">
        <v>549</v>
      </c>
      <c r="P353" s="48"/>
      <c r="Q353" s="48">
        <v>0</v>
      </c>
      <c r="R353" s="48"/>
      <c r="S353" s="48">
        <v>90</v>
      </c>
      <c r="T353" s="48"/>
      <c r="U353" s="48">
        <v>0</v>
      </c>
      <c r="V353" s="48"/>
      <c r="W353" s="48">
        <v>0</v>
      </c>
      <c r="X353" s="48"/>
      <c r="Y353" s="48">
        <v>0</v>
      </c>
      <c r="Z353" s="48"/>
      <c r="AA353" s="48">
        <v>0</v>
      </c>
      <c r="AB353" s="48"/>
      <c r="AC353" s="48">
        <v>0</v>
      </c>
      <c r="AD353" s="48"/>
      <c r="AE353" s="48">
        <v>0</v>
      </c>
      <c r="AF353" s="48"/>
      <c r="AG353" s="48">
        <v>0</v>
      </c>
      <c r="AH353" s="19">
        <f t="shared" si="18"/>
        <v>4949</v>
      </c>
      <c r="AI353" s="48">
        <f t="shared" si="19"/>
        <v>4949</v>
      </c>
      <c r="AJ353" s="5"/>
    </row>
    <row r="354" spans="1:39" s="67" customFormat="1" ht="12" customHeight="1" x14ac:dyDescent="0.2">
      <c r="A354" s="1" t="s">
        <v>632</v>
      </c>
      <c r="B354" s="1"/>
      <c r="C354" s="1" t="s">
        <v>547</v>
      </c>
      <c r="D354" s="1"/>
      <c r="E354" s="48">
        <v>25544</v>
      </c>
      <c r="F354" s="48"/>
      <c r="G354" s="48">
        <v>54947</v>
      </c>
      <c r="H354" s="48"/>
      <c r="I354" s="48">
        <v>35358</v>
      </c>
      <c r="J354" s="48"/>
      <c r="K354" s="48">
        <v>0</v>
      </c>
      <c r="L354" s="48"/>
      <c r="M354" s="48">
        <v>5700</v>
      </c>
      <c r="N354" s="48"/>
      <c r="O354" s="48">
        <v>16399</v>
      </c>
      <c r="P354" s="48"/>
      <c r="Q354" s="48">
        <v>692</v>
      </c>
      <c r="R354" s="48"/>
      <c r="S354" s="48">
        <v>5604</v>
      </c>
      <c r="T354" s="48"/>
      <c r="U354" s="48">
        <v>0</v>
      </c>
      <c r="V354" s="48"/>
      <c r="W354" s="48">
        <v>0</v>
      </c>
      <c r="X354" s="48"/>
      <c r="Y354" s="48">
        <v>0</v>
      </c>
      <c r="Z354" s="48"/>
      <c r="AA354" s="48">
        <v>39579</v>
      </c>
      <c r="AB354" s="48"/>
      <c r="AC354" s="48">
        <v>0</v>
      </c>
      <c r="AD354" s="48"/>
      <c r="AE354" s="48">
        <v>0</v>
      </c>
      <c r="AF354" s="48"/>
      <c r="AG354" s="48">
        <v>0</v>
      </c>
      <c r="AH354" s="19">
        <f t="shared" si="18"/>
        <v>183823</v>
      </c>
      <c r="AI354" s="48">
        <f t="shared" si="19"/>
        <v>183823</v>
      </c>
      <c r="AJ354" s="5"/>
      <c r="AK354" s="1"/>
      <c r="AL354" s="1"/>
      <c r="AM354" s="1"/>
    </row>
    <row r="355" spans="1:39" s="67" customFormat="1" ht="12" customHeight="1" x14ac:dyDescent="0.2">
      <c r="A355" s="1" t="s">
        <v>115</v>
      </c>
      <c r="B355" s="1"/>
      <c r="C355" s="1" t="s">
        <v>396</v>
      </c>
      <c r="D355" s="1"/>
      <c r="E355" s="48">
        <v>11365.22</v>
      </c>
      <c r="F355" s="48"/>
      <c r="G355" s="48">
        <v>0</v>
      </c>
      <c r="H355" s="48"/>
      <c r="I355" s="48">
        <v>12768.98</v>
      </c>
      <c r="J355" s="48"/>
      <c r="K355" s="48">
        <v>0</v>
      </c>
      <c r="L355" s="48"/>
      <c r="M355" s="48">
        <v>0</v>
      </c>
      <c r="N355" s="48"/>
      <c r="O355" s="48">
        <v>0</v>
      </c>
      <c r="P355" s="48"/>
      <c r="Q355" s="48">
        <v>2.69</v>
      </c>
      <c r="R355" s="48"/>
      <c r="S355" s="48">
        <v>1530.65</v>
      </c>
      <c r="T355" s="48"/>
      <c r="U355" s="48">
        <v>0</v>
      </c>
      <c r="V355" s="48"/>
      <c r="W355" s="48">
        <v>0</v>
      </c>
      <c r="X355" s="48"/>
      <c r="Y355" s="48">
        <v>0</v>
      </c>
      <c r="Z355" s="48"/>
      <c r="AA355" s="48">
        <v>0</v>
      </c>
      <c r="AB355" s="48"/>
      <c r="AC355" s="48">
        <v>0</v>
      </c>
      <c r="AD355" s="48"/>
      <c r="AE355" s="48">
        <v>0</v>
      </c>
      <c r="AF355" s="48"/>
      <c r="AG355" s="48">
        <v>0</v>
      </c>
      <c r="AH355" s="19">
        <f t="shared" si="18"/>
        <v>25667.539999999997</v>
      </c>
      <c r="AI355" s="48">
        <f t="shared" si="19"/>
        <v>25667.539999999997</v>
      </c>
      <c r="AJ355" s="5"/>
      <c r="AK355" s="4"/>
      <c r="AL355" s="4"/>
      <c r="AM355" s="4"/>
    </row>
    <row r="356" spans="1:39" s="67" customFormat="1" ht="12" customHeight="1" x14ac:dyDescent="0.2">
      <c r="A356" s="1" t="s">
        <v>230</v>
      </c>
      <c r="B356" s="1"/>
      <c r="C356" s="1" t="s">
        <v>545</v>
      </c>
      <c r="D356" s="1"/>
      <c r="E356" s="48">
        <v>34911.730000000003</v>
      </c>
      <c r="F356" s="48"/>
      <c r="G356" s="48">
        <v>0</v>
      </c>
      <c r="H356" s="48"/>
      <c r="I356" s="48">
        <v>18694.490000000002</v>
      </c>
      <c r="J356" s="48"/>
      <c r="K356" s="48">
        <v>0</v>
      </c>
      <c r="L356" s="48"/>
      <c r="M356" s="48">
        <v>0</v>
      </c>
      <c r="N356" s="48"/>
      <c r="O356" s="48">
        <v>47232.02</v>
      </c>
      <c r="P356" s="48"/>
      <c r="Q356" s="48">
        <v>284.97000000000003</v>
      </c>
      <c r="R356" s="48"/>
      <c r="S356" s="48">
        <v>18127.490000000002</v>
      </c>
      <c r="T356" s="48"/>
      <c r="U356" s="48">
        <v>0</v>
      </c>
      <c r="V356" s="48"/>
      <c r="W356" s="48">
        <v>0</v>
      </c>
      <c r="X356" s="48"/>
      <c r="Y356" s="48">
        <v>0</v>
      </c>
      <c r="Z356" s="48"/>
      <c r="AA356" s="48">
        <v>0</v>
      </c>
      <c r="AB356" s="48"/>
      <c r="AC356" s="48">
        <v>0</v>
      </c>
      <c r="AD356" s="48"/>
      <c r="AE356" s="48">
        <v>0</v>
      </c>
      <c r="AF356" s="48"/>
      <c r="AG356" s="48">
        <v>0</v>
      </c>
      <c r="AH356" s="19">
        <f t="shared" si="18"/>
        <v>119250.7</v>
      </c>
      <c r="AI356" s="48">
        <f t="shared" si="19"/>
        <v>119250.7</v>
      </c>
      <c r="AJ356" s="5"/>
      <c r="AK356" s="1"/>
      <c r="AL356" s="1"/>
      <c r="AM356" s="1"/>
    </row>
    <row r="357" spans="1:39" s="67" customFormat="1" ht="12" customHeight="1" x14ac:dyDescent="0.2">
      <c r="A357" s="6" t="s">
        <v>299</v>
      </c>
      <c r="B357" s="6"/>
      <c r="C357" s="6" t="s">
        <v>293</v>
      </c>
      <c r="D357" s="6"/>
      <c r="E357" s="48">
        <f>164963+41060</f>
        <v>206023</v>
      </c>
      <c r="F357" s="48"/>
      <c r="G357" s="48">
        <v>16344492</v>
      </c>
      <c r="H357" s="48"/>
      <c r="I357" s="48">
        <v>427381</v>
      </c>
      <c r="J357" s="48"/>
      <c r="K357" s="48">
        <v>0</v>
      </c>
      <c r="L357" s="48"/>
      <c r="M357" s="48">
        <f>640347+196824</f>
        <v>837171</v>
      </c>
      <c r="N357" s="48"/>
      <c r="O357" s="48">
        <f>156275+108732</f>
        <v>265007</v>
      </c>
      <c r="P357" s="48"/>
      <c r="Q357" s="48">
        <v>32431</v>
      </c>
      <c r="R357" s="48"/>
      <c r="S357" s="48">
        <f>2200+255291</f>
        <v>257491</v>
      </c>
      <c r="T357" s="48"/>
      <c r="U357" s="48">
        <v>0</v>
      </c>
      <c r="V357" s="48"/>
      <c r="W357" s="48">
        <v>0</v>
      </c>
      <c r="X357" s="48"/>
      <c r="Y357" s="48">
        <v>23945</v>
      </c>
      <c r="Z357" s="48"/>
      <c r="AA357" s="48">
        <v>0</v>
      </c>
      <c r="AB357" s="48"/>
      <c r="AC357" s="48">
        <v>0</v>
      </c>
      <c r="AD357" s="48"/>
      <c r="AE357" s="48">
        <v>0</v>
      </c>
      <c r="AF357" s="48"/>
      <c r="AG357" s="48">
        <v>0</v>
      </c>
      <c r="AH357" s="19">
        <f t="shared" si="18"/>
        <v>18393941</v>
      </c>
      <c r="AI357" s="48">
        <f t="shared" si="19"/>
        <v>18393941</v>
      </c>
      <c r="AJ357" s="5"/>
      <c r="AK357" s="1"/>
      <c r="AL357" s="1"/>
      <c r="AM357" s="1"/>
    </row>
    <row r="358" spans="1:39" s="67" customFormat="1" ht="12" customHeight="1" x14ac:dyDescent="0.2">
      <c r="A358" s="1" t="s">
        <v>857</v>
      </c>
      <c r="B358" s="1"/>
      <c r="C358" s="1" t="s">
        <v>77</v>
      </c>
      <c r="D358" s="1"/>
      <c r="E358" s="48">
        <v>100058.18</v>
      </c>
      <c r="F358" s="48"/>
      <c r="G358" s="48">
        <v>0</v>
      </c>
      <c r="H358" s="48"/>
      <c r="I358" s="48">
        <v>79975.070000000007</v>
      </c>
      <c r="J358" s="48"/>
      <c r="K358" s="48">
        <v>0</v>
      </c>
      <c r="L358" s="48"/>
      <c r="M358" s="48">
        <v>0</v>
      </c>
      <c r="N358" s="48"/>
      <c r="O358" s="48">
        <v>21865</v>
      </c>
      <c r="P358" s="48"/>
      <c r="Q358" s="48">
        <v>560.30999999999995</v>
      </c>
      <c r="R358" s="48"/>
      <c r="S358" s="48">
        <v>19955.93</v>
      </c>
      <c r="T358" s="48"/>
      <c r="U358" s="48">
        <v>0</v>
      </c>
      <c r="V358" s="48"/>
      <c r="W358" s="48">
        <v>0</v>
      </c>
      <c r="X358" s="48"/>
      <c r="Y358" s="48">
        <v>0</v>
      </c>
      <c r="Z358" s="48"/>
      <c r="AA358" s="48">
        <v>126.21</v>
      </c>
      <c r="AB358" s="48"/>
      <c r="AC358" s="48">
        <v>0</v>
      </c>
      <c r="AD358" s="48"/>
      <c r="AE358" s="48">
        <v>5673.52</v>
      </c>
      <c r="AF358" s="48"/>
      <c r="AG358" s="48">
        <v>0</v>
      </c>
      <c r="AH358" s="19">
        <f t="shared" si="18"/>
        <v>228214.21999999997</v>
      </c>
      <c r="AI358" s="48">
        <f t="shared" si="19"/>
        <v>228214.21999999997</v>
      </c>
      <c r="AJ358" s="5"/>
      <c r="AK358" s="4"/>
      <c r="AL358" s="4"/>
      <c r="AM358" s="4"/>
    </row>
    <row r="359" spans="1:39" s="67" customFormat="1" ht="12" customHeight="1" x14ac:dyDescent="0.2">
      <c r="A359" s="1" t="s">
        <v>103</v>
      </c>
      <c r="B359" s="1"/>
      <c r="C359" s="1" t="s">
        <v>377</v>
      </c>
      <c r="D359" s="1"/>
      <c r="E359" s="48">
        <v>24461.35</v>
      </c>
      <c r="F359" s="48"/>
      <c r="G359" s="48">
        <v>81306.559999999998</v>
      </c>
      <c r="H359" s="48"/>
      <c r="I359" s="48">
        <v>20478.46</v>
      </c>
      <c r="J359" s="48"/>
      <c r="K359" s="48">
        <v>0</v>
      </c>
      <c r="L359" s="48"/>
      <c r="M359" s="48">
        <v>0</v>
      </c>
      <c r="N359" s="48"/>
      <c r="O359" s="48">
        <v>3836.31</v>
      </c>
      <c r="P359" s="48"/>
      <c r="Q359" s="48">
        <v>23.98</v>
      </c>
      <c r="R359" s="48"/>
      <c r="S359" s="48">
        <v>11835.32</v>
      </c>
      <c r="T359" s="48"/>
      <c r="U359" s="48">
        <v>0</v>
      </c>
      <c r="V359" s="48"/>
      <c r="W359" s="48">
        <v>0</v>
      </c>
      <c r="X359" s="48"/>
      <c r="Y359" s="48">
        <v>0</v>
      </c>
      <c r="Z359" s="48"/>
      <c r="AA359" s="48">
        <v>0</v>
      </c>
      <c r="AB359" s="48"/>
      <c r="AC359" s="48">
        <v>0</v>
      </c>
      <c r="AD359" s="48"/>
      <c r="AE359" s="48">
        <v>0</v>
      </c>
      <c r="AF359" s="48"/>
      <c r="AG359" s="48">
        <v>0</v>
      </c>
      <c r="AH359" s="19">
        <f t="shared" si="18"/>
        <v>141941.97999999998</v>
      </c>
      <c r="AI359" s="48">
        <f t="shared" si="19"/>
        <v>141941.97999999998</v>
      </c>
      <c r="AJ359" s="5"/>
      <c r="AK359" s="1"/>
      <c r="AL359" s="1"/>
      <c r="AM359" s="1"/>
    </row>
    <row r="360" spans="1:39" ht="12" customHeight="1" x14ac:dyDescent="0.2">
      <c r="A360" s="1" t="s">
        <v>361</v>
      </c>
      <c r="C360" s="1" t="s">
        <v>360</v>
      </c>
      <c r="E360" s="48">
        <v>66964</v>
      </c>
      <c r="F360" s="48"/>
      <c r="G360" s="48">
        <v>704303</v>
      </c>
      <c r="H360" s="48"/>
      <c r="I360" s="48">
        <v>28915</v>
      </c>
      <c r="J360" s="48"/>
      <c r="K360" s="48">
        <v>0</v>
      </c>
      <c r="L360" s="48"/>
      <c r="M360" s="48">
        <v>18082</v>
      </c>
      <c r="N360" s="48"/>
      <c r="O360" s="48">
        <v>7030</v>
      </c>
      <c r="P360" s="48"/>
      <c r="Q360" s="48">
        <v>2967</v>
      </c>
      <c r="R360" s="48"/>
      <c r="S360" s="48">
        <v>48757</v>
      </c>
      <c r="T360" s="48"/>
      <c r="U360" s="48">
        <v>0</v>
      </c>
      <c r="V360" s="48"/>
      <c r="W360" s="48">
        <v>40000</v>
      </c>
      <c r="X360" s="48"/>
      <c r="Y360" s="48">
        <v>0</v>
      </c>
      <c r="Z360" s="48"/>
      <c r="AA360" s="48">
        <v>0</v>
      </c>
      <c r="AB360" s="48"/>
      <c r="AC360" s="48">
        <v>0</v>
      </c>
      <c r="AD360" s="48"/>
      <c r="AE360" s="48">
        <v>0</v>
      </c>
      <c r="AF360" s="48"/>
      <c r="AG360" s="48">
        <v>0</v>
      </c>
      <c r="AH360" s="19">
        <f t="shared" si="18"/>
        <v>917018</v>
      </c>
      <c r="AI360" s="48">
        <f t="shared" si="19"/>
        <v>917018</v>
      </c>
      <c r="AJ360" s="5"/>
    </row>
    <row r="361" spans="1:39" s="17" customFormat="1" ht="12" customHeight="1" x14ac:dyDescent="0.2">
      <c r="A361" s="1" t="s">
        <v>154</v>
      </c>
      <c r="B361" s="1"/>
      <c r="C361" s="1" t="s">
        <v>765</v>
      </c>
      <c r="D361" s="1"/>
      <c r="E361" s="48">
        <v>33369.39</v>
      </c>
      <c r="F361" s="48"/>
      <c r="G361" s="48">
        <v>376386.91</v>
      </c>
      <c r="H361" s="48"/>
      <c r="I361" s="48">
        <v>149795.91</v>
      </c>
      <c r="J361" s="48"/>
      <c r="K361" s="48">
        <v>0</v>
      </c>
      <c r="L361" s="48"/>
      <c r="M361" s="48">
        <v>46390.12</v>
      </c>
      <c r="N361" s="48"/>
      <c r="O361" s="48">
        <v>57382.15</v>
      </c>
      <c r="P361" s="48"/>
      <c r="Q361" s="48">
        <v>45496.08</v>
      </c>
      <c r="R361" s="48"/>
      <c r="S361" s="48">
        <v>61073.19</v>
      </c>
      <c r="T361" s="48"/>
      <c r="U361" s="48">
        <v>0</v>
      </c>
      <c r="V361" s="48"/>
      <c r="W361" s="48">
        <v>0</v>
      </c>
      <c r="X361" s="48"/>
      <c r="Y361" s="48">
        <v>0</v>
      </c>
      <c r="Z361" s="48"/>
      <c r="AA361" s="48">
        <v>0</v>
      </c>
      <c r="AB361" s="48"/>
      <c r="AC361" s="48">
        <v>0</v>
      </c>
      <c r="AD361" s="48"/>
      <c r="AE361" s="48">
        <v>0</v>
      </c>
      <c r="AF361" s="48"/>
      <c r="AG361" s="48">
        <v>0</v>
      </c>
      <c r="AH361" s="19">
        <f t="shared" si="18"/>
        <v>769893.75</v>
      </c>
      <c r="AI361" s="48">
        <f t="shared" si="19"/>
        <v>769893.75</v>
      </c>
      <c r="AJ361" s="5"/>
      <c r="AK361" s="1"/>
      <c r="AL361" s="1"/>
      <c r="AM361" s="1"/>
    </row>
    <row r="362" spans="1:39" ht="12" customHeight="1" x14ac:dyDescent="0.2">
      <c r="A362" s="1" t="s">
        <v>519</v>
      </c>
      <c r="C362" s="1" t="s">
        <v>518</v>
      </c>
      <c r="E362" s="48">
        <v>169</v>
      </c>
      <c r="F362" s="48"/>
      <c r="G362" s="48">
        <v>0</v>
      </c>
      <c r="H362" s="48"/>
      <c r="I362" s="48">
        <v>205282</v>
      </c>
      <c r="J362" s="48"/>
      <c r="K362" s="48">
        <v>0</v>
      </c>
      <c r="L362" s="48"/>
      <c r="M362" s="48">
        <v>25182</v>
      </c>
      <c r="N362" s="48"/>
      <c r="O362" s="48">
        <v>23036</v>
      </c>
      <c r="P362" s="48"/>
      <c r="Q362" s="48">
        <v>7718</v>
      </c>
      <c r="R362" s="48"/>
      <c r="S362" s="48">
        <v>47223</v>
      </c>
      <c r="T362" s="48"/>
      <c r="U362" s="48">
        <v>0</v>
      </c>
      <c r="V362" s="48"/>
      <c r="W362" s="48">
        <v>0</v>
      </c>
      <c r="X362" s="48"/>
      <c r="Y362" s="48">
        <v>0</v>
      </c>
      <c r="Z362" s="48"/>
      <c r="AA362" s="48">
        <v>750000</v>
      </c>
      <c r="AB362" s="48"/>
      <c r="AC362" s="48">
        <v>0</v>
      </c>
      <c r="AD362" s="48"/>
      <c r="AE362" s="48">
        <v>0</v>
      </c>
      <c r="AF362" s="48"/>
      <c r="AG362" s="48">
        <v>0</v>
      </c>
      <c r="AH362" s="19">
        <f t="shared" si="18"/>
        <v>1058610</v>
      </c>
      <c r="AI362" s="48">
        <f t="shared" si="19"/>
        <v>1058610</v>
      </c>
      <c r="AJ362" s="8"/>
      <c r="AK362" s="6"/>
      <c r="AL362" s="6"/>
      <c r="AM362" s="6"/>
    </row>
    <row r="363" spans="1:39" s="67" customFormat="1" ht="12" customHeight="1" x14ac:dyDescent="0.2">
      <c r="A363" s="1" t="s">
        <v>369</v>
      </c>
      <c r="B363" s="1"/>
      <c r="C363" s="1" t="s">
        <v>366</v>
      </c>
      <c r="D363" s="1"/>
      <c r="E363" s="48">
        <v>6066</v>
      </c>
      <c r="F363" s="48"/>
      <c r="G363" s="48">
        <v>48875</v>
      </c>
      <c r="H363" s="48"/>
      <c r="I363" s="48">
        <v>11065</v>
      </c>
      <c r="J363" s="48"/>
      <c r="K363" s="48">
        <v>0</v>
      </c>
      <c r="L363" s="48"/>
      <c r="M363" s="48">
        <v>16100</v>
      </c>
      <c r="N363" s="48"/>
      <c r="O363" s="48">
        <v>2670</v>
      </c>
      <c r="P363" s="48"/>
      <c r="Q363" s="48">
        <v>1050</v>
      </c>
      <c r="R363" s="48"/>
      <c r="S363" s="48">
        <v>3133</v>
      </c>
      <c r="T363" s="48"/>
      <c r="U363" s="48">
        <v>0</v>
      </c>
      <c r="V363" s="48"/>
      <c r="W363" s="48">
        <v>0</v>
      </c>
      <c r="X363" s="48"/>
      <c r="Y363" s="48">
        <v>0</v>
      </c>
      <c r="Z363" s="48"/>
      <c r="AA363" s="48">
        <v>0</v>
      </c>
      <c r="AB363" s="48"/>
      <c r="AC363" s="48">
        <v>0</v>
      </c>
      <c r="AD363" s="48"/>
      <c r="AE363" s="48">
        <v>0</v>
      </c>
      <c r="AF363" s="48"/>
      <c r="AG363" s="48">
        <v>0</v>
      </c>
      <c r="AH363" s="19">
        <f t="shared" si="18"/>
        <v>88959</v>
      </c>
      <c r="AI363" s="48">
        <f t="shared" si="19"/>
        <v>88959</v>
      </c>
      <c r="AJ363" s="5"/>
      <c r="AK363" s="1"/>
      <c r="AL363" s="1"/>
      <c r="AM363" s="1"/>
    </row>
    <row r="364" spans="1:39" s="6" customFormat="1" ht="12" customHeight="1" x14ac:dyDescent="0.2">
      <c r="A364" s="1" t="s">
        <v>268</v>
      </c>
      <c r="B364" s="1"/>
      <c r="C364" s="1" t="s">
        <v>269</v>
      </c>
      <c r="D364" s="1"/>
      <c r="E364" s="48">
        <v>43594.27</v>
      </c>
      <c r="F364" s="48"/>
      <c r="G364" s="48">
        <v>344010.81</v>
      </c>
      <c r="H364" s="48"/>
      <c r="I364" s="48">
        <v>225698.78</v>
      </c>
      <c r="J364" s="48"/>
      <c r="K364" s="48">
        <v>0</v>
      </c>
      <c r="L364" s="48"/>
      <c r="M364" s="48">
        <v>0</v>
      </c>
      <c r="N364" s="48"/>
      <c r="O364" s="48">
        <v>12735.06</v>
      </c>
      <c r="P364" s="48"/>
      <c r="Q364" s="48">
        <v>1056.1400000000001</v>
      </c>
      <c r="R364" s="48"/>
      <c r="S364" s="48">
        <v>9051.81</v>
      </c>
      <c r="T364" s="48"/>
      <c r="U364" s="48">
        <v>0</v>
      </c>
      <c r="V364" s="48"/>
      <c r="W364" s="48">
        <v>0</v>
      </c>
      <c r="X364" s="48"/>
      <c r="Y364" s="48">
        <v>13386</v>
      </c>
      <c r="Z364" s="48"/>
      <c r="AA364" s="48">
        <v>0</v>
      </c>
      <c r="AB364" s="48"/>
      <c r="AC364" s="48">
        <v>0</v>
      </c>
      <c r="AD364" s="48"/>
      <c r="AE364" s="48">
        <v>0</v>
      </c>
      <c r="AF364" s="48"/>
      <c r="AG364" s="48">
        <v>0</v>
      </c>
      <c r="AH364" s="19">
        <f t="shared" si="18"/>
        <v>649532.87000000011</v>
      </c>
      <c r="AI364" s="48">
        <f t="shared" si="19"/>
        <v>649532.87000000011</v>
      </c>
      <c r="AJ364" s="5"/>
      <c r="AK364" s="67"/>
      <c r="AL364" s="67"/>
      <c r="AM364" s="67"/>
    </row>
    <row r="365" spans="1:39" s="6" customFormat="1" ht="12" customHeight="1" x14ac:dyDescent="0.2">
      <c r="A365" s="1" t="s">
        <v>171</v>
      </c>
      <c r="B365" s="1"/>
      <c r="C365" s="1" t="s">
        <v>460</v>
      </c>
      <c r="D365" s="1"/>
      <c r="E365" s="48">
        <v>5527.21</v>
      </c>
      <c r="F365" s="48"/>
      <c r="G365" s="48">
        <v>18900.21</v>
      </c>
      <c r="H365" s="48"/>
      <c r="I365" s="48">
        <v>10566.74</v>
      </c>
      <c r="J365" s="48"/>
      <c r="K365" s="48">
        <v>0</v>
      </c>
      <c r="L365" s="48"/>
      <c r="M365" s="48">
        <v>0</v>
      </c>
      <c r="N365" s="48"/>
      <c r="O365" s="48">
        <v>305.12</v>
      </c>
      <c r="P365" s="48"/>
      <c r="Q365" s="48">
        <v>0</v>
      </c>
      <c r="R365" s="48"/>
      <c r="S365" s="48">
        <v>3302.81</v>
      </c>
      <c r="T365" s="48"/>
      <c r="U365" s="48">
        <v>0</v>
      </c>
      <c r="V365" s="48"/>
      <c r="W365" s="48">
        <v>0</v>
      </c>
      <c r="X365" s="48"/>
      <c r="Y365" s="48">
        <v>0</v>
      </c>
      <c r="Z365" s="48"/>
      <c r="AA365" s="48">
        <v>0</v>
      </c>
      <c r="AB365" s="48"/>
      <c r="AC365" s="48">
        <v>0</v>
      </c>
      <c r="AD365" s="48"/>
      <c r="AE365" s="48">
        <v>0</v>
      </c>
      <c r="AF365" s="48"/>
      <c r="AG365" s="48">
        <v>0</v>
      </c>
      <c r="AH365" s="19">
        <f t="shared" si="18"/>
        <v>38602.089999999997</v>
      </c>
      <c r="AI365" s="48">
        <f t="shared" si="19"/>
        <v>38602.089999999997</v>
      </c>
      <c r="AJ365" s="5"/>
      <c r="AK365" s="67"/>
      <c r="AL365" s="67"/>
      <c r="AM365" s="67"/>
    </row>
    <row r="366" spans="1:39" ht="12" customHeight="1" x14ac:dyDescent="0.2">
      <c r="A366" s="1" t="s">
        <v>717</v>
      </c>
      <c r="C366" s="1" t="s">
        <v>433</v>
      </c>
      <c r="E366" s="48">
        <v>16556.5</v>
      </c>
      <c r="F366" s="48"/>
      <c r="G366" s="48">
        <v>0</v>
      </c>
      <c r="H366" s="48"/>
      <c r="I366" s="48">
        <v>8517.6</v>
      </c>
      <c r="J366" s="48"/>
      <c r="K366" s="48">
        <v>0</v>
      </c>
      <c r="L366" s="48"/>
      <c r="M366" s="48">
        <v>0</v>
      </c>
      <c r="N366" s="48"/>
      <c r="O366" s="48">
        <v>4490.62</v>
      </c>
      <c r="P366" s="48"/>
      <c r="Q366" s="48">
        <v>164.41</v>
      </c>
      <c r="R366" s="48"/>
      <c r="S366" s="48">
        <v>1773.11</v>
      </c>
      <c r="T366" s="48"/>
      <c r="U366" s="48">
        <v>0</v>
      </c>
      <c r="V366" s="48"/>
      <c r="W366" s="48">
        <v>0</v>
      </c>
      <c r="X366" s="48"/>
      <c r="Y366" s="48">
        <v>0</v>
      </c>
      <c r="Z366" s="48"/>
      <c r="AA366" s="48">
        <v>0</v>
      </c>
      <c r="AB366" s="48"/>
      <c r="AC366" s="48">
        <v>0</v>
      </c>
      <c r="AD366" s="48"/>
      <c r="AE366" s="48">
        <v>0</v>
      </c>
      <c r="AF366" s="48"/>
      <c r="AG366" s="48">
        <v>0</v>
      </c>
      <c r="AH366" s="19">
        <f t="shared" si="18"/>
        <v>31502.239999999998</v>
      </c>
      <c r="AI366" s="48">
        <f t="shared" si="19"/>
        <v>31502.239999999998</v>
      </c>
      <c r="AJ366" s="8"/>
      <c r="AK366" s="13"/>
      <c r="AL366" s="13"/>
      <c r="AM366" s="13"/>
    </row>
    <row r="367" spans="1:39" ht="12" customHeight="1" x14ac:dyDescent="0.2">
      <c r="A367" s="1" t="s">
        <v>335</v>
      </c>
      <c r="C367" s="1" t="s">
        <v>332</v>
      </c>
      <c r="E367" s="48">
        <v>30420</v>
      </c>
      <c r="F367" s="48"/>
      <c r="G367" s="48">
        <v>256671</v>
      </c>
      <c r="H367" s="48"/>
      <c r="I367" s="48">
        <v>22711</v>
      </c>
      <c r="J367" s="48"/>
      <c r="K367" s="48">
        <v>0</v>
      </c>
      <c r="L367" s="48"/>
      <c r="M367" s="48">
        <v>3085</v>
      </c>
      <c r="N367" s="48"/>
      <c r="O367" s="48">
        <v>1020</v>
      </c>
      <c r="P367" s="48"/>
      <c r="Q367" s="48">
        <v>223</v>
      </c>
      <c r="R367" s="48"/>
      <c r="S367" s="48">
        <v>29073</v>
      </c>
      <c r="T367" s="48"/>
      <c r="U367" s="48">
        <v>0</v>
      </c>
      <c r="V367" s="48"/>
      <c r="W367" s="48">
        <v>0</v>
      </c>
      <c r="X367" s="48"/>
      <c r="Y367" s="48">
        <v>1174</v>
      </c>
      <c r="Z367" s="48"/>
      <c r="AA367" s="48">
        <v>0</v>
      </c>
      <c r="AB367" s="48"/>
      <c r="AC367" s="48">
        <v>0</v>
      </c>
      <c r="AD367" s="48"/>
      <c r="AE367" s="48">
        <v>0</v>
      </c>
      <c r="AF367" s="48"/>
      <c r="AG367" s="48">
        <v>0</v>
      </c>
      <c r="AH367" s="19">
        <f t="shared" si="18"/>
        <v>344377</v>
      </c>
      <c r="AI367" s="48">
        <f t="shared" si="19"/>
        <v>344377</v>
      </c>
      <c r="AJ367" s="5"/>
    </row>
    <row r="368" spans="1:39" ht="12" customHeight="1" x14ac:dyDescent="0.2">
      <c r="A368" s="1" t="s">
        <v>212</v>
      </c>
      <c r="C368" s="1" t="s">
        <v>502</v>
      </c>
      <c r="E368" s="48">
        <v>46454.73</v>
      </c>
      <c r="F368" s="48"/>
      <c r="G368" s="48">
        <v>0</v>
      </c>
      <c r="H368" s="48"/>
      <c r="I368" s="48">
        <v>41165.730000000003</v>
      </c>
      <c r="J368" s="48"/>
      <c r="K368" s="48">
        <v>0</v>
      </c>
      <c r="L368" s="48"/>
      <c r="M368" s="48">
        <v>20648.95</v>
      </c>
      <c r="N368" s="48"/>
      <c r="O368" s="48">
        <v>13213.6</v>
      </c>
      <c r="P368" s="48"/>
      <c r="Q368" s="48">
        <v>134.94</v>
      </c>
      <c r="R368" s="48"/>
      <c r="S368" s="48">
        <v>10942.53</v>
      </c>
      <c r="T368" s="48"/>
      <c r="U368" s="48">
        <v>0</v>
      </c>
      <c r="V368" s="48"/>
      <c r="W368" s="48">
        <v>0</v>
      </c>
      <c r="X368" s="48"/>
      <c r="Y368" s="48">
        <v>0</v>
      </c>
      <c r="Z368" s="48"/>
      <c r="AA368" s="48">
        <v>0</v>
      </c>
      <c r="AB368" s="48"/>
      <c r="AC368" s="48">
        <v>0</v>
      </c>
      <c r="AD368" s="48"/>
      <c r="AE368" s="48">
        <v>0</v>
      </c>
      <c r="AF368" s="48"/>
      <c r="AG368" s="48">
        <v>0</v>
      </c>
      <c r="AH368" s="19">
        <f t="shared" si="18"/>
        <v>132560.48000000001</v>
      </c>
      <c r="AI368" s="48">
        <f t="shared" si="19"/>
        <v>132560.48000000001</v>
      </c>
      <c r="AJ368" s="5"/>
    </row>
    <row r="369" spans="1:39" s="67" customFormat="1" ht="12" customHeight="1" x14ac:dyDescent="0.2">
      <c r="A369" s="1" t="s">
        <v>805</v>
      </c>
      <c r="B369" s="1"/>
      <c r="C369" s="1" t="s">
        <v>532</v>
      </c>
      <c r="D369" s="1"/>
      <c r="E369" s="48">
        <v>12141.45</v>
      </c>
      <c r="F369" s="48"/>
      <c r="G369" s="48">
        <v>63300.94</v>
      </c>
      <c r="H369" s="48"/>
      <c r="I369" s="48">
        <v>26813.119999999999</v>
      </c>
      <c r="J369" s="48"/>
      <c r="K369" s="48">
        <v>0</v>
      </c>
      <c r="L369" s="48"/>
      <c r="M369" s="48">
        <v>5960</v>
      </c>
      <c r="N369" s="48"/>
      <c r="O369" s="48">
        <v>2594.0700000000002</v>
      </c>
      <c r="P369" s="48"/>
      <c r="Q369" s="48">
        <v>41.13</v>
      </c>
      <c r="R369" s="48"/>
      <c r="S369" s="48">
        <v>2889.69</v>
      </c>
      <c r="T369" s="48"/>
      <c r="U369" s="48">
        <v>0</v>
      </c>
      <c r="V369" s="48"/>
      <c r="W369" s="48">
        <v>0</v>
      </c>
      <c r="X369" s="48"/>
      <c r="Y369" s="48">
        <v>0</v>
      </c>
      <c r="Z369" s="48"/>
      <c r="AA369" s="48">
        <v>3525.42</v>
      </c>
      <c r="AB369" s="48"/>
      <c r="AC369" s="48">
        <v>0</v>
      </c>
      <c r="AD369" s="48"/>
      <c r="AE369" s="48">
        <v>0</v>
      </c>
      <c r="AF369" s="48"/>
      <c r="AG369" s="48">
        <v>0</v>
      </c>
      <c r="AH369" s="19">
        <f t="shared" si="18"/>
        <v>117265.82</v>
      </c>
      <c r="AI369" s="48">
        <f t="shared" si="19"/>
        <v>117265.82</v>
      </c>
      <c r="AJ369" s="17"/>
      <c r="AK369" s="1"/>
      <c r="AL369" s="1"/>
      <c r="AM369" s="1"/>
    </row>
    <row r="370" spans="1:39" ht="12" customHeight="1" x14ac:dyDescent="0.2">
      <c r="A370" s="1" t="s">
        <v>341</v>
      </c>
      <c r="C370" s="1" t="s">
        <v>342</v>
      </c>
      <c r="E370" s="48">
        <v>227675</v>
      </c>
      <c r="F370" s="48"/>
      <c r="G370" s="48">
        <v>2372336</v>
      </c>
      <c r="H370" s="48"/>
      <c r="I370" s="48">
        <v>89728</v>
      </c>
      <c r="J370" s="48"/>
      <c r="K370" s="48">
        <v>0</v>
      </c>
      <c r="L370" s="48"/>
      <c r="M370" s="48">
        <v>35290</v>
      </c>
      <c r="N370" s="48"/>
      <c r="O370" s="48">
        <v>68773</v>
      </c>
      <c r="P370" s="48"/>
      <c r="Q370" s="48">
        <v>3122</v>
      </c>
      <c r="R370" s="48"/>
      <c r="S370" s="48">
        <v>341594</v>
      </c>
      <c r="T370" s="48"/>
      <c r="U370" s="48">
        <v>0</v>
      </c>
      <c r="V370" s="48"/>
      <c r="W370" s="48">
        <v>0</v>
      </c>
      <c r="X370" s="48"/>
      <c r="Y370" s="48">
        <v>0</v>
      </c>
      <c r="Z370" s="48"/>
      <c r="AA370" s="48">
        <v>0</v>
      </c>
      <c r="AB370" s="48"/>
      <c r="AC370" s="48">
        <v>0</v>
      </c>
      <c r="AD370" s="48"/>
      <c r="AE370" s="48">
        <v>0</v>
      </c>
      <c r="AF370" s="48"/>
      <c r="AG370" s="48">
        <v>0</v>
      </c>
      <c r="AH370" s="19">
        <f t="shared" si="18"/>
        <v>3138518</v>
      </c>
      <c r="AI370" s="48">
        <f t="shared" si="19"/>
        <v>3138518</v>
      </c>
      <c r="AJ370" s="17"/>
    </row>
    <row r="371" spans="1:39" ht="12" customHeight="1" x14ac:dyDescent="0.2">
      <c r="A371" s="1" t="s">
        <v>145</v>
      </c>
      <c r="C371" s="1" t="s">
        <v>431</v>
      </c>
      <c r="E371" s="48">
        <v>124135.59</v>
      </c>
      <c r="F371" s="48"/>
      <c r="G371" s="48">
        <v>215788.51</v>
      </c>
      <c r="H371" s="48"/>
      <c r="I371" s="48">
        <v>128923.81</v>
      </c>
      <c r="J371" s="48"/>
      <c r="K371" s="48">
        <v>0</v>
      </c>
      <c r="L371" s="48"/>
      <c r="M371" s="48">
        <v>407895</v>
      </c>
      <c r="N371" s="48"/>
      <c r="O371" s="48">
        <v>104121.64</v>
      </c>
      <c r="P371" s="48"/>
      <c r="Q371" s="48">
        <v>1193.3599999999999</v>
      </c>
      <c r="R371" s="48"/>
      <c r="S371" s="48">
        <v>6947.43</v>
      </c>
      <c r="T371" s="48"/>
      <c r="U371" s="48">
        <v>0</v>
      </c>
      <c r="V371" s="48"/>
      <c r="W371" s="48">
        <v>0</v>
      </c>
      <c r="X371" s="48"/>
      <c r="Y371" s="48">
        <v>0</v>
      </c>
      <c r="Z371" s="48"/>
      <c r="AA371" s="48">
        <v>0</v>
      </c>
      <c r="AB371" s="48"/>
      <c r="AC371" s="48">
        <v>0</v>
      </c>
      <c r="AD371" s="48"/>
      <c r="AE371" s="48">
        <v>146.57</v>
      </c>
      <c r="AF371" s="48"/>
      <c r="AG371" s="48">
        <v>0</v>
      </c>
      <c r="AH371" s="19">
        <f t="shared" si="18"/>
        <v>989151.90999999992</v>
      </c>
      <c r="AI371" s="48">
        <f t="shared" si="19"/>
        <v>989151.90999999992</v>
      </c>
      <c r="AJ371" s="17"/>
    </row>
    <row r="372" spans="1:39" ht="12" customHeight="1" x14ac:dyDescent="0.2">
      <c r="A372" s="1" t="s">
        <v>772</v>
      </c>
      <c r="C372" s="1" t="s">
        <v>280</v>
      </c>
      <c r="E372" s="48">
        <v>15908.61</v>
      </c>
      <c r="F372" s="48"/>
      <c r="G372" s="48">
        <v>0</v>
      </c>
      <c r="H372" s="48"/>
      <c r="I372" s="48">
        <v>8283.73</v>
      </c>
      <c r="J372" s="48"/>
      <c r="K372" s="48">
        <v>0</v>
      </c>
      <c r="L372" s="48"/>
      <c r="M372" s="48">
        <v>0</v>
      </c>
      <c r="N372" s="48"/>
      <c r="O372" s="48">
        <v>5527.74</v>
      </c>
      <c r="P372" s="48"/>
      <c r="Q372" s="48">
        <v>0</v>
      </c>
      <c r="R372" s="48"/>
      <c r="S372" s="48">
        <v>64.78</v>
      </c>
      <c r="T372" s="48"/>
      <c r="U372" s="48">
        <v>0</v>
      </c>
      <c r="V372" s="48"/>
      <c r="W372" s="48">
        <v>0</v>
      </c>
      <c r="X372" s="48"/>
      <c r="Y372" s="48">
        <v>0</v>
      </c>
      <c r="Z372" s="48"/>
      <c r="AA372" s="48">
        <v>0</v>
      </c>
      <c r="AB372" s="48"/>
      <c r="AC372" s="48">
        <v>0</v>
      </c>
      <c r="AD372" s="48"/>
      <c r="AE372" s="48">
        <v>0</v>
      </c>
      <c r="AF372" s="48"/>
      <c r="AG372" s="48">
        <v>0</v>
      </c>
      <c r="AH372" s="19">
        <f t="shared" si="18"/>
        <v>29784.86</v>
      </c>
      <c r="AI372" s="48">
        <f t="shared" si="19"/>
        <v>29784.86</v>
      </c>
      <c r="AJ372" s="5"/>
      <c r="AK372" s="67"/>
      <c r="AL372" s="67"/>
      <c r="AM372" s="67"/>
    </row>
    <row r="373" spans="1:39" ht="12" customHeight="1" x14ac:dyDescent="0.2">
      <c r="A373" s="1" t="s">
        <v>218</v>
      </c>
      <c r="C373" s="1" t="s">
        <v>521</v>
      </c>
      <c r="E373" s="48">
        <v>11192.78</v>
      </c>
      <c r="F373" s="48"/>
      <c r="G373" s="48">
        <v>223495.26</v>
      </c>
      <c r="H373" s="48"/>
      <c r="I373" s="48">
        <v>21173.46</v>
      </c>
      <c r="J373" s="48"/>
      <c r="K373" s="48">
        <v>0</v>
      </c>
      <c r="L373" s="48"/>
      <c r="M373" s="48">
        <v>5009.03</v>
      </c>
      <c r="N373" s="48"/>
      <c r="O373" s="48">
        <v>150</v>
      </c>
      <c r="P373" s="48"/>
      <c r="Q373" s="48">
        <v>42.19</v>
      </c>
      <c r="R373" s="48"/>
      <c r="S373" s="48">
        <v>1635.05</v>
      </c>
      <c r="T373" s="48"/>
      <c r="U373" s="48">
        <v>0</v>
      </c>
      <c r="V373" s="48"/>
      <c r="W373" s="48">
        <v>0</v>
      </c>
      <c r="X373" s="48"/>
      <c r="Y373" s="48">
        <v>0</v>
      </c>
      <c r="Z373" s="48"/>
      <c r="AA373" s="48">
        <v>0</v>
      </c>
      <c r="AB373" s="48"/>
      <c r="AC373" s="48">
        <v>0</v>
      </c>
      <c r="AD373" s="48"/>
      <c r="AE373" s="48">
        <v>0</v>
      </c>
      <c r="AF373" s="48"/>
      <c r="AG373" s="48">
        <v>1164.01</v>
      </c>
      <c r="AH373" s="19">
        <f t="shared" si="18"/>
        <v>262697.77</v>
      </c>
      <c r="AI373" s="48">
        <f t="shared" si="19"/>
        <v>263861.78000000003</v>
      </c>
      <c r="AJ373" s="5"/>
      <c r="AK373" s="67"/>
      <c r="AL373" s="67"/>
      <c r="AM373" s="67"/>
    </row>
    <row r="374" spans="1:39" ht="12" customHeight="1" x14ac:dyDescent="0.2">
      <c r="A374" s="1" t="s">
        <v>426</v>
      </c>
      <c r="C374" s="1" t="s">
        <v>401</v>
      </c>
      <c r="E374" s="48">
        <v>23628</v>
      </c>
      <c r="F374" s="48"/>
      <c r="G374" s="48">
        <v>0</v>
      </c>
      <c r="H374" s="48"/>
      <c r="I374" s="48">
        <v>0</v>
      </c>
      <c r="J374" s="48"/>
      <c r="K374" s="48">
        <v>0</v>
      </c>
      <c r="L374" s="48"/>
      <c r="M374" s="48">
        <v>0</v>
      </c>
      <c r="N374" s="48"/>
      <c r="O374" s="48">
        <v>0</v>
      </c>
      <c r="P374" s="48"/>
      <c r="Q374" s="48">
        <v>0</v>
      </c>
      <c r="R374" s="48"/>
      <c r="S374" s="48">
        <v>0</v>
      </c>
      <c r="T374" s="48"/>
      <c r="U374" s="48">
        <v>0</v>
      </c>
      <c r="V374" s="48"/>
      <c r="W374" s="48">
        <v>0</v>
      </c>
      <c r="X374" s="48"/>
      <c r="Y374" s="48">
        <v>0</v>
      </c>
      <c r="Z374" s="48"/>
      <c r="AA374" s="48">
        <v>0</v>
      </c>
      <c r="AB374" s="48"/>
      <c r="AC374" s="48">
        <v>0</v>
      </c>
      <c r="AD374" s="48"/>
      <c r="AE374" s="48">
        <v>0</v>
      </c>
      <c r="AF374" s="48"/>
      <c r="AG374" s="48">
        <v>0</v>
      </c>
      <c r="AH374" s="19">
        <f t="shared" si="18"/>
        <v>23628</v>
      </c>
      <c r="AI374" s="48">
        <f t="shared" si="19"/>
        <v>23628</v>
      </c>
      <c r="AJ374" s="5"/>
      <c r="AK374" s="67"/>
      <c r="AL374" s="67"/>
      <c r="AM374" s="67"/>
    </row>
    <row r="375" spans="1:39" ht="12" customHeight="1" x14ac:dyDescent="0.2">
      <c r="A375" s="1" t="s">
        <v>8</v>
      </c>
      <c r="C375" s="1" t="s">
        <v>848</v>
      </c>
      <c r="E375" s="48">
        <v>14756.63</v>
      </c>
      <c r="F375" s="48"/>
      <c r="G375" s="48">
        <v>0</v>
      </c>
      <c r="H375" s="48"/>
      <c r="I375" s="48">
        <v>22729.94</v>
      </c>
      <c r="J375" s="48"/>
      <c r="K375" s="48">
        <v>0</v>
      </c>
      <c r="L375" s="48"/>
      <c r="M375" s="48">
        <v>0</v>
      </c>
      <c r="N375" s="48"/>
      <c r="O375" s="48">
        <v>3412</v>
      </c>
      <c r="P375" s="48"/>
      <c r="Q375" s="48">
        <v>5.0599999999999996</v>
      </c>
      <c r="R375" s="48"/>
      <c r="S375" s="48">
        <v>1108.8399999999999</v>
      </c>
      <c r="T375" s="48"/>
      <c r="U375" s="48">
        <v>0</v>
      </c>
      <c r="V375" s="48"/>
      <c r="W375" s="48">
        <v>0</v>
      </c>
      <c r="X375" s="48"/>
      <c r="Y375" s="48">
        <v>0</v>
      </c>
      <c r="Z375" s="48"/>
      <c r="AA375" s="48">
        <v>0</v>
      </c>
      <c r="AB375" s="48"/>
      <c r="AC375" s="48">
        <v>0</v>
      </c>
      <c r="AD375" s="48"/>
      <c r="AE375" s="48">
        <v>0</v>
      </c>
      <c r="AF375" s="48"/>
      <c r="AG375" s="48">
        <v>0</v>
      </c>
      <c r="AH375" s="19">
        <f t="shared" si="18"/>
        <v>42012.469999999994</v>
      </c>
      <c r="AI375" s="48">
        <f t="shared" si="19"/>
        <v>42012.469999999994</v>
      </c>
      <c r="AJ375" s="5"/>
      <c r="AK375" s="87"/>
      <c r="AL375" s="87"/>
      <c r="AM375" s="87"/>
    </row>
    <row r="376" spans="1:39" ht="12" customHeight="1" x14ac:dyDescent="0.2">
      <c r="A376" s="1" t="s">
        <v>324</v>
      </c>
      <c r="C376" s="1" t="s">
        <v>325</v>
      </c>
      <c r="E376" s="48">
        <v>116717</v>
      </c>
      <c r="F376" s="48"/>
      <c r="G376" s="48">
        <v>397713</v>
      </c>
      <c r="H376" s="48"/>
      <c r="I376" s="48">
        <v>55056</v>
      </c>
      <c r="J376" s="48"/>
      <c r="K376" s="48">
        <v>0</v>
      </c>
      <c r="L376" s="48"/>
      <c r="M376" s="48">
        <v>0</v>
      </c>
      <c r="N376" s="48"/>
      <c r="O376" s="48">
        <v>66917</v>
      </c>
      <c r="P376" s="48"/>
      <c r="Q376" s="48">
        <v>2248</v>
      </c>
      <c r="R376" s="48"/>
      <c r="S376" s="48">
        <v>0</v>
      </c>
      <c r="T376" s="48"/>
      <c r="U376" s="48">
        <v>0</v>
      </c>
      <c r="V376" s="48"/>
      <c r="W376" s="48">
        <v>0</v>
      </c>
      <c r="X376" s="48"/>
      <c r="Y376" s="48">
        <v>0</v>
      </c>
      <c r="Z376" s="48"/>
      <c r="AA376" s="48">
        <v>0</v>
      </c>
      <c r="AB376" s="48"/>
      <c r="AC376" s="48">
        <v>0</v>
      </c>
      <c r="AD376" s="48"/>
      <c r="AE376" s="48">
        <v>0</v>
      </c>
      <c r="AF376" s="48"/>
      <c r="AG376" s="48">
        <v>0</v>
      </c>
      <c r="AH376" s="19">
        <f t="shared" si="18"/>
        <v>638651</v>
      </c>
      <c r="AI376" s="48">
        <f t="shared" si="19"/>
        <v>638651</v>
      </c>
      <c r="AJ376" s="5"/>
      <c r="AK376" s="67"/>
      <c r="AL376" s="67"/>
      <c r="AM376" s="67"/>
    </row>
    <row r="377" spans="1:39" ht="12" customHeight="1" x14ac:dyDescent="0.2">
      <c r="A377" s="1" t="s">
        <v>222</v>
      </c>
      <c r="C377" s="1" t="s">
        <v>531</v>
      </c>
      <c r="E377" s="48">
        <v>18342.23</v>
      </c>
      <c r="F377" s="48"/>
      <c r="G377" s="48">
        <v>138245.54</v>
      </c>
      <c r="H377" s="48"/>
      <c r="I377" s="48">
        <v>1824.8</v>
      </c>
      <c r="J377" s="48"/>
      <c r="K377" s="48">
        <v>0</v>
      </c>
      <c r="L377" s="48"/>
      <c r="M377" s="48">
        <v>0</v>
      </c>
      <c r="N377" s="48"/>
      <c r="O377" s="48">
        <v>1600</v>
      </c>
      <c r="P377" s="48"/>
      <c r="Q377" s="48">
        <v>918.58</v>
      </c>
      <c r="R377" s="48"/>
      <c r="S377" s="48">
        <v>10857.86</v>
      </c>
      <c r="T377" s="48"/>
      <c r="U377" s="48">
        <v>0</v>
      </c>
      <c r="V377" s="48"/>
      <c r="W377" s="48">
        <v>0</v>
      </c>
      <c r="X377" s="48"/>
      <c r="Y377" s="48">
        <v>0</v>
      </c>
      <c r="Z377" s="48"/>
      <c r="AA377" s="48">
        <v>0</v>
      </c>
      <c r="AB377" s="48"/>
      <c r="AC377" s="48">
        <v>18000</v>
      </c>
      <c r="AD377" s="48"/>
      <c r="AE377" s="48">
        <v>0</v>
      </c>
      <c r="AF377" s="48"/>
      <c r="AG377" s="48">
        <v>0</v>
      </c>
      <c r="AH377" s="19">
        <f t="shared" si="18"/>
        <v>189789.01</v>
      </c>
      <c r="AI377" s="48">
        <f t="shared" si="19"/>
        <v>189789.01</v>
      </c>
      <c r="AJ377" s="5"/>
    </row>
    <row r="378" spans="1:39" s="67" customFormat="1" ht="12" customHeight="1" x14ac:dyDescent="0.2">
      <c r="A378" s="1" t="s">
        <v>240</v>
      </c>
      <c r="B378" s="1"/>
      <c r="C378" s="1" t="s">
        <v>558</v>
      </c>
      <c r="D378" s="1"/>
      <c r="E378" s="48">
        <v>52753.120000000003</v>
      </c>
      <c r="F378" s="48"/>
      <c r="G378" s="48">
        <v>0</v>
      </c>
      <c r="H378" s="48"/>
      <c r="I378" s="48">
        <v>59534.76</v>
      </c>
      <c r="J378" s="48"/>
      <c r="K378" s="48">
        <v>0</v>
      </c>
      <c r="L378" s="48"/>
      <c r="M378" s="48">
        <v>1167</v>
      </c>
      <c r="N378" s="48"/>
      <c r="O378" s="48">
        <v>15489.01</v>
      </c>
      <c r="P378" s="48"/>
      <c r="Q378" s="48">
        <v>241.37</v>
      </c>
      <c r="R378" s="48"/>
      <c r="S378" s="48">
        <v>1509.52</v>
      </c>
      <c r="T378" s="48"/>
      <c r="U378" s="48">
        <v>0</v>
      </c>
      <c r="V378" s="48"/>
      <c r="W378" s="48">
        <v>0</v>
      </c>
      <c r="X378" s="48"/>
      <c r="Y378" s="48">
        <v>0</v>
      </c>
      <c r="Z378" s="48"/>
      <c r="AA378" s="48">
        <v>83159.61</v>
      </c>
      <c r="AB378" s="48"/>
      <c r="AC378" s="48">
        <v>0</v>
      </c>
      <c r="AD378" s="48"/>
      <c r="AE378" s="48">
        <v>0</v>
      </c>
      <c r="AF378" s="48"/>
      <c r="AG378" s="48">
        <v>0</v>
      </c>
      <c r="AH378" s="19">
        <f t="shared" si="18"/>
        <v>213854.39</v>
      </c>
      <c r="AI378" s="48">
        <f t="shared" si="19"/>
        <v>213854.39</v>
      </c>
      <c r="AJ378" s="5"/>
      <c r="AK378" s="1"/>
      <c r="AL378" s="1"/>
      <c r="AM378" s="1"/>
    </row>
    <row r="379" spans="1:39" ht="12" customHeight="1" x14ac:dyDescent="0.2">
      <c r="A379" s="1" t="s">
        <v>65</v>
      </c>
      <c r="C379" s="1" t="s">
        <v>334</v>
      </c>
      <c r="E379" s="48">
        <v>8871</v>
      </c>
      <c r="F379" s="48"/>
      <c r="G379" s="48">
        <v>0</v>
      </c>
      <c r="H379" s="48"/>
      <c r="I379" s="48">
        <v>5794.09</v>
      </c>
      <c r="J379" s="48"/>
      <c r="K379" s="48">
        <v>0</v>
      </c>
      <c r="L379" s="48"/>
      <c r="M379" s="48">
        <v>0</v>
      </c>
      <c r="N379" s="48"/>
      <c r="O379" s="48">
        <v>0</v>
      </c>
      <c r="P379" s="48"/>
      <c r="Q379" s="48">
        <v>0</v>
      </c>
      <c r="R379" s="48"/>
      <c r="S379" s="48">
        <v>38.39</v>
      </c>
      <c r="T379" s="48"/>
      <c r="U379" s="48">
        <v>0</v>
      </c>
      <c r="V379" s="48"/>
      <c r="W379" s="48">
        <v>0</v>
      </c>
      <c r="X379" s="48"/>
      <c r="Y379" s="48">
        <v>0</v>
      </c>
      <c r="Z379" s="48"/>
      <c r="AA379" s="48">
        <v>0</v>
      </c>
      <c r="AB379" s="48"/>
      <c r="AC379" s="48">
        <v>0</v>
      </c>
      <c r="AD379" s="48"/>
      <c r="AE379" s="48">
        <v>380</v>
      </c>
      <c r="AF379" s="48"/>
      <c r="AG379" s="48">
        <v>0</v>
      </c>
      <c r="AH379" s="19">
        <f t="shared" si="18"/>
        <v>15083.48</v>
      </c>
      <c r="AI379" s="48">
        <f t="shared" si="19"/>
        <v>15083.48</v>
      </c>
      <c r="AJ379" s="5"/>
    </row>
    <row r="380" spans="1:39" ht="12" customHeight="1" x14ac:dyDescent="0.2">
      <c r="A380" s="1" t="s">
        <v>191</v>
      </c>
      <c r="C380" s="1" t="s">
        <v>476</v>
      </c>
      <c r="E380" s="48">
        <v>5785.11</v>
      </c>
      <c r="F380" s="48"/>
      <c r="G380" s="48">
        <v>40519.06</v>
      </c>
      <c r="H380" s="48"/>
      <c r="I380" s="48">
        <v>23598.59</v>
      </c>
      <c r="J380" s="48"/>
      <c r="K380" s="48">
        <v>0</v>
      </c>
      <c r="L380" s="48"/>
      <c r="M380" s="48">
        <v>0</v>
      </c>
      <c r="N380" s="48"/>
      <c r="O380" s="48">
        <v>678.07</v>
      </c>
      <c r="P380" s="48"/>
      <c r="Q380" s="48">
        <v>199.24</v>
      </c>
      <c r="R380" s="48"/>
      <c r="S380" s="48">
        <v>1313.9</v>
      </c>
      <c r="T380" s="48"/>
      <c r="U380" s="48">
        <v>0</v>
      </c>
      <c r="V380" s="48"/>
      <c r="W380" s="48">
        <v>0</v>
      </c>
      <c r="X380" s="48"/>
      <c r="Y380" s="48">
        <v>0</v>
      </c>
      <c r="Z380" s="48"/>
      <c r="AA380" s="48">
        <v>0</v>
      </c>
      <c r="AB380" s="48"/>
      <c r="AC380" s="48">
        <v>0</v>
      </c>
      <c r="AD380" s="48"/>
      <c r="AE380" s="48">
        <v>0</v>
      </c>
      <c r="AF380" s="48"/>
      <c r="AG380" s="48">
        <v>0</v>
      </c>
      <c r="AH380" s="19">
        <f t="shared" si="18"/>
        <v>72093.97</v>
      </c>
      <c r="AI380" s="48">
        <f t="shared" si="19"/>
        <v>72093.97</v>
      </c>
      <c r="AJ380" s="5"/>
      <c r="AK380" s="87"/>
      <c r="AL380" s="87"/>
      <c r="AM380" s="87"/>
    </row>
    <row r="381" spans="1:39" ht="12" customHeight="1" x14ac:dyDescent="0.2">
      <c r="A381" s="1" t="s">
        <v>384</v>
      </c>
      <c r="C381" s="1" t="s">
        <v>382</v>
      </c>
      <c r="E381" s="48">
        <v>158820.38</v>
      </c>
      <c r="F381" s="48"/>
      <c r="G381" s="48">
        <v>1522617.93</v>
      </c>
      <c r="H381" s="48"/>
      <c r="I381" s="48">
        <v>226797.97</v>
      </c>
      <c r="J381" s="48"/>
      <c r="K381" s="48">
        <v>0</v>
      </c>
      <c r="L381" s="48"/>
      <c r="M381" s="48">
        <v>10290.58</v>
      </c>
      <c r="N381" s="48"/>
      <c r="O381" s="48">
        <v>57575.199999999997</v>
      </c>
      <c r="P381" s="48"/>
      <c r="Q381" s="48">
        <v>3960.07</v>
      </c>
      <c r="R381" s="48"/>
      <c r="S381" s="48">
        <v>38352.589999999997</v>
      </c>
      <c r="T381" s="48"/>
      <c r="U381" s="48">
        <v>0</v>
      </c>
      <c r="V381" s="48"/>
      <c r="W381" s="48">
        <v>0</v>
      </c>
      <c r="X381" s="48"/>
      <c r="Y381" s="48">
        <v>0</v>
      </c>
      <c r="Z381" s="48"/>
      <c r="AA381" s="48">
        <v>0</v>
      </c>
      <c r="AB381" s="48"/>
      <c r="AC381" s="48">
        <v>0</v>
      </c>
      <c r="AD381" s="48"/>
      <c r="AE381" s="48">
        <v>0</v>
      </c>
      <c r="AF381" s="48"/>
      <c r="AG381" s="48">
        <v>0</v>
      </c>
      <c r="AH381" s="19">
        <f t="shared" si="18"/>
        <v>2018414.7200000002</v>
      </c>
      <c r="AI381" s="48">
        <f t="shared" si="19"/>
        <v>2018414.7200000002</v>
      </c>
      <c r="AJ381" s="5"/>
      <c r="AK381" s="4"/>
      <c r="AL381" s="4"/>
      <c r="AM381" s="4"/>
    </row>
    <row r="382" spans="1:39" s="67" customFormat="1" ht="12" customHeight="1" x14ac:dyDescent="0.2">
      <c r="A382" s="1" t="s">
        <v>58</v>
      </c>
      <c r="B382" s="1"/>
      <c r="C382" s="1" t="s">
        <v>327</v>
      </c>
      <c r="D382" s="1"/>
      <c r="E382" s="48">
        <v>94764</v>
      </c>
      <c r="F382" s="48"/>
      <c r="G382" s="48">
        <v>0</v>
      </c>
      <c r="H382" s="48"/>
      <c r="I382" s="48">
        <v>41497.360000000001</v>
      </c>
      <c r="J382" s="48"/>
      <c r="K382" s="48">
        <v>0</v>
      </c>
      <c r="L382" s="48"/>
      <c r="M382" s="48">
        <v>34237.75</v>
      </c>
      <c r="N382" s="48"/>
      <c r="O382" s="48">
        <v>33181.57</v>
      </c>
      <c r="P382" s="48"/>
      <c r="Q382" s="48">
        <v>2276.98</v>
      </c>
      <c r="R382" s="48"/>
      <c r="S382" s="48">
        <v>5427.12</v>
      </c>
      <c r="T382" s="48"/>
      <c r="U382" s="48">
        <v>0</v>
      </c>
      <c r="V382" s="48"/>
      <c r="W382" s="48">
        <v>0</v>
      </c>
      <c r="X382" s="48"/>
      <c r="Y382" s="48">
        <v>0</v>
      </c>
      <c r="Z382" s="48"/>
      <c r="AA382" s="48">
        <v>0</v>
      </c>
      <c r="AB382" s="48"/>
      <c r="AC382" s="48">
        <v>0</v>
      </c>
      <c r="AD382" s="48"/>
      <c r="AE382" s="48">
        <v>1374</v>
      </c>
      <c r="AF382" s="48"/>
      <c r="AG382" s="48">
        <v>0</v>
      </c>
      <c r="AH382" s="19">
        <f t="shared" si="18"/>
        <v>212758.78</v>
      </c>
      <c r="AI382" s="48">
        <f t="shared" si="19"/>
        <v>212758.78</v>
      </c>
      <c r="AJ382" s="5"/>
      <c r="AK382" s="87"/>
      <c r="AL382" s="87"/>
      <c r="AM382" s="87"/>
    </row>
    <row r="383" spans="1:39" s="67" customFormat="1" ht="12" customHeight="1" x14ac:dyDescent="0.2">
      <c r="A383" s="1" t="s">
        <v>443</v>
      </c>
      <c r="B383" s="1"/>
      <c r="C383" s="1" t="s">
        <v>441</v>
      </c>
      <c r="D383" s="1"/>
      <c r="E383" s="48">
        <v>1817</v>
      </c>
      <c r="F383" s="48"/>
      <c r="G383" s="48">
        <v>0</v>
      </c>
      <c r="H383" s="48"/>
      <c r="I383" s="48">
        <v>3627</v>
      </c>
      <c r="J383" s="48"/>
      <c r="K383" s="48">
        <v>0</v>
      </c>
      <c r="L383" s="48"/>
      <c r="M383" s="48">
        <v>0</v>
      </c>
      <c r="N383" s="48"/>
      <c r="O383" s="48">
        <v>0</v>
      </c>
      <c r="P383" s="48"/>
      <c r="Q383" s="48">
        <v>8</v>
      </c>
      <c r="R383" s="48"/>
      <c r="S383" s="48">
        <v>0</v>
      </c>
      <c r="T383" s="48"/>
      <c r="U383" s="48">
        <v>0</v>
      </c>
      <c r="V383" s="48"/>
      <c r="W383" s="48">
        <v>0</v>
      </c>
      <c r="X383" s="48"/>
      <c r="Y383" s="48">
        <v>0</v>
      </c>
      <c r="Z383" s="48"/>
      <c r="AA383" s="48">
        <v>0</v>
      </c>
      <c r="AB383" s="48"/>
      <c r="AC383" s="48">
        <v>0</v>
      </c>
      <c r="AD383" s="48"/>
      <c r="AE383" s="48">
        <v>0</v>
      </c>
      <c r="AF383" s="48"/>
      <c r="AG383" s="48">
        <v>0</v>
      </c>
      <c r="AH383" s="19">
        <f t="shared" si="18"/>
        <v>5452</v>
      </c>
      <c r="AI383" s="48">
        <f t="shared" si="19"/>
        <v>5452</v>
      </c>
      <c r="AJ383" s="5"/>
      <c r="AK383" s="1"/>
      <c r="AL383" s="1"/>
      <c r="AM383" s="1"/>
    </row>
    <row r="384" spans="1:39" ht="12" customHeight="1" x14ac:dyDescent="0.2">
      <c r="A384" s="1" t="s">
        <v>219</v>
      </c>
      <c r="C384" s="1" t="s">
        <v>521</v>
      </c>
      <c r="E384" s="48">
        <v>32728.959999999999</v>
      </c>
      <c r="F384" s="48"/>
      <c r="G384" s="48">
        <v>56769.94</v>
      </c>
      <c r="H384" s="48"/>
      <c r="I384" s="48">
        <v>18828.849999999999</v>
      </c>
      <c r="J384" s="48"/>
      <c r="K384" s="48">
        <v>0</v>
      </c>
      <c r="L384" s="48"/>
      <c r="M384" s="48">
        <v>0</v>
      </c>
      <c r="N384" s="48"/>
      <c r="O384" s="48">
        <v>6329.62</v>
      </c>
      <c r="P384" s="48"/>
      <c r="Q384" s="48">
        <v>32.03</v>
      </c>
      <c r="R384" s="48"/>
      <c r="S384" s="48">
        <v>12088.07</v>
      </c>
      <c r="T384" s="48"/>
      <c r="U384" s="48">
        <v>0</v>
      </c>
      <c r="V384" s="48"/>
      <c r="W384" s="48">
        <v>0</v>
      </c>
      <c r="X384" s="48"/>
      <c r="Y384" s="48">
        <v>0</v>
      </c>
      <c r="Z384" s="48"/>
      <c r="AA384" s="48">
        <v>0</v>
      </c>
      <c r="AB384" s="48"/>
      <c r="AC384" s="48">
        <v>0</v>
      </c>
      <c r="AD384" s="48"/>
      <c r="AE384" s="48">
        <v>0</v>
      </c>
      <c r="AF384" s="48"/>
      <c r="AG384" s="48">
        <v>0</v>
      </c>
      <c r="AH384" s="19">
        <f t="shared" si="18"/>
        <v>126777.47</v>
      </c>
      <c r="AI384" s="48">
        <f t="shared" si="19"/>
        <v>126777.47</v>
      </c>
      <c r="AJ384" s="5"/>
    </row>
    <row r="385" spans="1:39" s="67" customFormat="1" ht="12" customHeight="1" x14ac:dyDescent="0.2">
      <c r="A385" s="1" t="s">
        <v>507</v>
      </c>
      <c r="B385" s="1"/>
      <c r="C385" s="1" t="s">
        <v>502</v>
      </c>
      <c r="D385" s="1"/>
      <c r="E385" s="48">
        <v>120731</v>
      </c>
      <c r="F385" s="48"/>
      <c r="G385" s="48">
        <v>0</v>
      </c>
      <c r="H385" s="48"/>
      <c r="I385" s="48">
        <v>194641</v>
      </c>
      <c r="J385" s="48"/>
      <c r="K385" s="48">
        <v>0</v>
      </c>
      <c r="L385" s="48"/>
      <c r="M385" s="48">
        <v>2089</v>
      </c>
      <c r="N385" s="48"/>
      <c r="O385" s="48">
        <v>62284</v>
      </c>
      <c r="P385" s="48"/>
      <c r="Q385" s="48">
        <v>10360</v>
      </c>
      <c r="R385" s="48"/>
      <c r="S385" s="48">
        <v>59522</v>
      </c>
      <c r="T385" s="48"/>
      <c r="U385" s="48">
        <v>0</v>
      </c>
      <c r="V385" s="48"/>
      <c r="W385" s="48">
        <v>0</v>
      </c>
      <c r="X385" s="48"/>
      <c r="Y385" s="48">
        <v>0</v>
      </c>
      <c r="Z385" s="48"/>
      <c r="AA385" s="48">
        <v>0</v>
      </c>
      <c r="AB385" s="48"/>
      <c r="AC385" s="48">
        <v>0</v>
      </c>
      <c r="AD385" s="48"/>
      <c r="AE385" s="48">
        <v>1469000</v>
      </c>
      <c r="AF385" s="48"/>
      <c r="AG385" s="48">
        <v>0</v>
      </c>
      <c r="AH385" s="19">
        <f t="shared" si="18"/>
        <v>1918627</v>
      </c>
      <c r="AI385" s="48">
        <f t="shared" si="19"/>
        <v>1918627</v>
      </c>
      <c r="AJ385" s="5"/>
      <c r="AK385" s="1"/>
      <c r="AL385" s="1"/>
      <c r="AM385" s="1"/>
    </row>
    <row r="386" spans="1:39" ht="12" customHeight="1" x14ac:dyDescent="0.2">
      <c r="A386" s="1" t="s">
        <v>69</v>
      </c>
      <c r="C386" s="1" t="s">
        <v>329</v>
      </c>
      <c r="E386" s="48">
        <v>454410.68</v>
      </c>
      <c r="F386" s="48"/>
      <c r="G386" s="48">
        <v>318091.77</v>
      </c>
      <c r="H386" s="48"/>
      <c r="I386" s="48">
        <v>154076.91</v>
      </c>
      <c r="J386" s="48"/>
      <c r="K386" s="48">
        <v>0</v>
      </c>
      <c r="L386" s="48"/>
      <c r="M386" s="48">
        <v>66962.34</v>
      </c>
      <c r="N386" s="48"/>
      <c r="O386" s="48">
        <v>72021.41</v>
      </c>
      <c r="P386" s="48"/>
      <c r="Q386" s="48">
        <v>84</v>
      </c>
      <c r="R386" s="48"/>
      <c r="S386" s="48">
        <v>23540.75</v>
      </c>
      <c r="T386" s="48"/>
      <c r="U386" s="48">
        <v>0</v>
      </c>
      <c r="V386" s="48"/>
      <c r="W386" s="48">
        <v>0</v>
      </c>
      <c r="X386" s="48"/>
      <c r="Y386" s="48">
        <v>0</v>
      </c>
      <c r="Z386" s="48"/>
      <c r="AA386" s="48">
        <v>0</v>
      </c>
      <c r="AB386" s="48"/>
      <c r="AC386" s="48">
        <v>0</v>
      </c>
      <c r="AD386" s="48"/>
      <c r="AE386" s="48">
        <v>0</v>
      </c>
      <c r="AF386" s="48"/>
      <c r="AG386" s="48">
        <v>0</v>
      </c>
      <c r="AH386" s="19">
        <f t="shared" si="18"/>
        <v>1089187.8599999999</v>
      </c>
      <c r="AI386" s="48">
        <f t="shared" si="19"/>
        <v>1089187.8599999999</v>
      </c>
      <c r="AJ386" s="17"/>
      <c r="AK386" s="70"/>
      <c r="AL386" s="70"/>
      <c r="AM386" s="70"/>
    </row>
    <row r="387" spans="1:39" s="67" customFormat="1" ht="12" customHeight="1" x14ac:dyDescent="0.2">
      <c r="A387" s="1" t="s">
        <v>392</v>
      </c>
      <c r="B387" s="1"/>
      <c r="C387" s="1" t="s">
        <v>390</v>
      </c>
      <c r="D387" s="1"/>
      <c r="E387" s="48">
        <v>81141</v>
      </c>
      <c r="F387" s="48"/>
      <c r="G387" s="48">
        <v>458081</v>
      </c>
      <c r="H387" s="48"/>
      <c r="I387" s="48">
        <v>165793</v>
      </c>
      <c r="J387" s="48"/>
      <c r="K387" s="48">
        <v>0</v>
      </c>
      <c r="L387" s="48"/>
      <c r="M387" s="48">
        <v>0</v>
      </c>
      <c r="N387" s="48"/>
      <c r="O387" s="48">
        <v>92932</v>
      </c>
      <c r="P387" s="48"/>
      <c r="Q387" s="48">
        <v>11</v>
      </c>
      <c r="R387" s="48"/>
      <c r="S387" s="48">
        <v>2623</v>
      </c>
      <c r="T387" s="48"/>
      <c r="U387" s="48">
        <v>0</v>
      </c>
      <c r="V387" s="48"/>
      <c r="W387" s="48">
        <v>0</v>
      </c>
      <c r="X387" s="48"/>
      <c r="Y387" s="48">
        <v>0</v>
      </c>
      <c r="Z387" s="48"/>
      <c r="AA387" s="48">
        <v>362999</v>
      </c>
      <c r="AB387" s="48"/>
      <c r="AC387" s="48">
        <v>0</v>
      </c>
      <c r="AD387" s="48"/>
      <c r="AE387" s="48">
        <v>76191</v>
      </c>
      <c r="AF387" s="48"/>
      <c r="AG387" s="48">
        <v>0</v>
      </c>
      <c r="AH387" s="19">
        <f t="shared" ref="AH387:AH426" si="20">SUM(D387:AF387)</f>
        <v>1239771</v>
      </c>
      <c r="AI387" s="48">
        <f t="shared" si="19"/>
        <v>1239771</v>
      </c>
      <c r="AJ387" s="5"/>
    </row>
    <row r="388" spans="1:39" s="67" customFormat="1" ht="12" customHeight="1" x14ac:dyDescent="0.2">
      <c r="A388" s="1" t="s">
        <v>258</v>
      </c>
      <c r="B388" s="1"/>
      <c r="C388" s="1" t="s">
        <v>257</v>
      </c>
      <c r="D388" s="1"/>
      <c r="E388" s="48">
        <v>588746</v>
      </c>
      <c r="F388" s="48"/>
      <c r="G388" s="48">
        <v>3457188</v>
      </c>
      <c r="H388" s="48"/>
      <c r="I388" s="48">
        <v>191571</v>
      </c>
      <c r="J388" s="48"/>
      <c r="K388" s="48">
        <v>0</v>
      </c>
      <c r="L388" s="48"/>
      <c r="M388" s="48">
        <v>54570</v>
      </c>
      <c r="N388" s="48"/>
      <c r="O388" s="48">
        <v>7939</v>
      </c>
      <c r="P388" s="48"/>
      <c r="Q388" s="48">
        <v>14846</v>
      </c>
      <c r="R388" s="48"/>
      <c r="S388" s="48">
        <v>18016</v>
      </c>
      <c r="T388" s="48"/>
      <c r="U388" s="48">
        <v>0</v>
      </c>
      <c r="V388" s="48"/>
      <c r="W388" s="48">
        <v>0</v>
      </c>
      <c r="X388" s="48"/>
      <c r="Y388" s="48">
        <v>0</v>
      </c>
      <c r="Z388" s="48"/>
      <c r="AA388" s="48">
        <v>0</v>
      </c>
      <c r="AB388" s="48"/>
      <c r="AC388" s="48">
        <v>0</v>
      </c>
      <c r="AD388" s="48"/>
      <c r="AE388" s="48">
        <v>0</v>
      </c>
      <c r="AF388" s="48"/>
      <c r="AG388" s="48">
        <v>0</v>
      </c>
      <c r="AH388" s="19">
        <f t="shared" si="20"/>
        <v>4332876</v>
      </c>
      <c r="AI388" s="48">
        <f t="shared" ref="AI388:AI426" si="21">SUM(E388:AG388)</f>
        <v>4332876</v>
      </c>
      <c r="AJ388" s="5"/>
      <c r="AK388" s="87"/>
      <c r="AL388" s="87"/>
      <c r="AM388" s="87"/>
    </row>
    <row r="389" spans="1:39" s="67" customFormat="1" ht="12" customHeight="1" x14ac:dyDescent="0.2">
      <c r="A389" s="1" t="s">
        <v>512</v>
      </c>
      <c r="B389" s="1"/>
      <c r="C389" s="1" t="s">
        <v>511</v>
      </c>
      <c r="D389" s="1"/>
      <c r="E389" s="48">
        <v>131180</v>
      </c>
      <c r="F389" s="48"/>
      <c r="G389" s="48">
        <v>2386851</v>
      </c>
      <c r="H389" s="48"/>
      <c r="I389" s="48">
        <v>165381</v>
      </c>
      <c r="J389" s="48"/>
      <c r="K389" s="48">
        <v>0</v>
      </c>
      <c r="L389" s="48"/>
      <c r="M389" s="48">
        <v>0</v>
      </c>
      <c r="N389" s="48"/>
      <c r="O389" s="48">
        <v>63700</v>
      </c>
      <c r="P389" s="48"/>
      <c r="Q389" s="48">
        <v>1387</v>
      </c>
      <c r="R389" s="48"/>
      <c r="S389" s="48">
        <v>80896</v>
      </c>
      <c r="T389" s="48"/>
      <c r="U389" s="48">
        <v>0</v>
      </c>
      <c r="V389" s="48"/>
      <c r="W389" s="48">
        <v>0</v>
      </c>
      <c r="X389" s="48"/>
      <c r="Y389" s="48">
        <v>0</v>
      </c>
      <c r="Z389" s="48"/>
      <c r="AA389" s="48">
        <v>0</v>
      </c>
      <c r="AB389" s="48"/>
      <c r="AC389" s="48">
        <v>0</v>
      </c>
      <c r="AD389" s="48"/>
      <c r="AE389" s="48">
        <v>0</v>
      </c>
      <c r="AF389" s="48"/>
      <c r="AG389" s="48">
        <v>0</v>
      </c>
      <c r="AH389" s="19">
        <f t="shared" si="20"/>
        <v>2829395</v>
      </c>
      <c r="AI389" s="48">
        <f t="shared" si="21"/>
        <v>2829395</v>
      </c>
      <c r="AJ389" s="5"/>
      <c r="AK389" s="1"/>
      <c r="AL389" s="1"/>
      <c r="AM389" s="1"/>
    </row>
    <row r="390" spans="1:39" ht="12" customHeight="1" x14ac:dyDescent="0.2">
      <c r="A390" s="1" t="s">
        <v>385</v>
      </c>
      <c r="C390" s="1" t="s">
        <v>386</v>
      </c>
      <c r="E390" s="48">
        <v>44113</v>
      </c>
      <c r="F390" s="48"/>
      <c r="G390" s="48">
        <v>494122</v>
      </c>
      <c r="H390" s="48"/>
      <c r="I390" s="48">
        <f>260365+1575</f>
        <v>261940</v>
      </c>
      <c r="J390" s="48"/>
      <c r="K390" s="48">
        <v>1051</v>
      </c>
      <c r="L390" s="48"/>
      <c r="M390" s="48">
        <v>11577</v>
      </c>
      <c r="N390" s="48"/>
      <c r="O390" s="48">
        <v>27687</v>
      </c>
      <c r="P390" s="48"/>
      <c r="Q390" s="48">
        <v>1536</v>
      </c>
      <c r="R390" s="48"/>
      <c r="S390" s="48">
        <f>24136+40508</f>
        <v>64644</v>
      </c>
      <c r="T390" s="48"/>
      <c r="U390" s="48">
        <v>0</v>
      </c>
      <c r="V390" s="48"/>
      <c r="W390" s="48">
        <v>0</v>
      </c>
      <c r="X390" s="48"/>
      <c r="Y390" s="48">
        <v>0</v>
      </c>
      <c r="Z390" s="48"/>
      <c r="AA390" s="48">
        <v>22556</v>
      </c>
      <c r="AB390" s="48"/>
      <c r="AC390" s="48">
        <v>4174093</v>
      </c>
      <c r="AD390" s="48"/>
      <c r="AE390" s="48">
        <v>598</v>
      </c>
      <c r="AF390" s="48"/>
      <c r="AG390" s="48">
        <v>0</v>
      </c>
      <c r="AH390" s="19">
        <f t="shared" si="20"/>
        <v>5103917</v>
      </c>
      <c r="AI390" s="48">
        <f t="shared" si="21"/>
        <v>5103917</v>
      </c>
      <c r="AJ390" s="5"/>
    </row>
    <row r="391" spans="1:39" ht="12" customHeight="1" x14ac:dyDescent="0.2">
      <c r="A391" s="1" t="s">
        <v>148</v>
      </c>
      <c r="C391" s="1" t="s">
        <v>433</v>
      </c>
      <c r="E391" s="48">
        <v>4807.83</v>
      </c>
      <c r="F391" s="48"/>
      <c r="G391" s="48">
        <v>0</v>
      </c>
      <c r="H391" s="48"/>
      <c r="I391" s="48">
        <v>8442.1200000000008</v>
      </c>
      <c r="J391" s="48"/>
      <c r="K391" s="48">
        <v>0</v>
      </c>
      <c r="L391" s="48"/>
      <c r="M391" s="48">
        <v>0</v>
      </c>
      <c r="N391" s="48"/>
      <c r="O391" s="48">
        <v>2098.5300000000002</v>
      </c>
      <c r="P391" s="48"/>
      <c r="Q391" s="48">
        <v>30.55</v>
      </c>
      <c r="R391" s="48"/>
      <c r="S391" s="48">
        <v>298.89999999999998</v>
      </c>
      <c r="T391" s="48"/>
      <c r="U391" s="48">
        <v>0</v>
      </c>
      <c r="V391" s="48"/>
      <c r="W391" s="48">
        <v>0</v>
      </c>
      <c r="X391" s="48"/>
      <c r="Y391" s="48">
        <v>0</v>
      </c>
      <c r="Z391" s="48"/>
      <c r="AA391" s="48">
        <v>0</v>
      </c>
      <c r="AB391" s="48"/>
      <c r="AC391" s="48">
        <v>0</v>
      </c>
      <c r="AD391" s="48"/>
      <c r="AE391" s="48">
        <v>0</v>
      </c>
      <c r="AF391" s="48"/>
      <c r="AG391" s="48">
        <v>0</v>
      </c>
      <c r="AH391" s="19">
        <f t="shared" si="20"/>
        <v>15677.93</v>
      </c>
      <c r="AI391" s="48">
        <f t="shared" si="21"/>
        <v>15677.93</v>
      </c>
      <c r="AJ391" s="5"/>
    </row>
    <row r="392" spans="1:39" s="67" customFormat="1" ht="12" customHeight="1" x14ac:dyDescent="0.2">
      <c r="A392" s="1" t="s">
        <v>555</v>
      </c>
      <c r="B392" s="1"/>
      <c r="C392" s="1" t="s">
        <v>554</v>
      </c>
      <c r="D392" s="1"/>
      <c r="E392" s="48">
        <v>422078</v>
      </c>
      <c r="F392" s="48"/>
      <c r="G392" s="48">
        <v>419122</v>
      </c>
      <c r="H392" s="48"/>
      <c r="I392" s="48">
        <v>281140</v>
      </c>
      <c r="J392" s="48"/>
      <c r="K392" s="48">
        <v>0</v>
      </c>
      <c r="L392" s="48"/>
      <c r="M392" s="48">
        <v>403568</v>
      </c>
      <c r="N392" s="48"/>
      <c r="O392" s="48">
        <v>35437</v>
      </c>
      <c r="P392" s="48"/>
      <c r="Q392" s="48">
        <v>65286</v>
      </c>
      <c r="R392" s="48"/>
      <c r="S392" s="48">
        <v>40988</v>
      </c>
      <c r="T392" s="48"/>
      <c r="U392" s="48">
        <v>0</v>
      </c>
      <c r="V392" s="48"/>
      <c r="W392" s="48">
        <v>0</v>
      </c>
      <c r="X392" s="48"/>
      <c r="Y392" s="48">
        <v>0</v>
      </c>
      <c r="Z392" s="48"/>
      <c r="AA392" s="48">
        <v>4269</v>
      </c>
      <c r="AB392" s="48"/>
      <c r="AC392" s="48">
        <v>0</v>
      </c>
      <c r="AD392" s="48"/>
      <c r="AE392" s="48">
        <v>0</v>
      </c>
      <c r="AF392" s="48"/>
      <c r="AG392" s="48">
        <v>0</v>
      </c>
      <c r="AH392" s="19">
        <f t="shared" si="20"/>
        <v>1671888</v>
      </c>
      <c r="AI392" s="48">
        <f t="shared" si="21"/>
        <v>1671888</v>
      </c>
      <c r="AJ392" s="5"/>
      <c r="AK392" s="5"/>
      <c r="AL392" s="5"/>
      <c r="AM392" s="5"/>
    </row>
    <row r="393" spans="1:39" s="67" customFormat="1" ht="12" customHeight="1" x14ac:dyDescent="0.2">
      <c r="A393" s="1" t="s">
        <v>300</v>
      </c>
      <c r="B393" s="1"/>
      <c r="C393" s="1" t="s">
        <v>293</v>
      </c>
      <c r="D393" s="1"/>
      <c r="E393" s="48">
        <v>826706</v>
      </c>
      <c r="F393" s="48"/>
      <c r="G393" s="48">
        <v>3263604</v>
      </c>
      <c r="H393" s="48"/>
      <c r="I393" s="48">
        <v>276996</v>
      </c>
      <c r="J393" s="48"/>
      <c r="K393" s="48">
        <v>0</v>
      </c>
      <c r="L393" s="48"/>
      <c r="M393" s="48">
        <v>12826</v>
      </c>
      <c r="N393" s="48"/>
      <c r="O393" s="48">
        <v>177541</v>
      </c>
      <c r="P393" s="48"/>
      <c r="Q393" s="48">
        <v>23376</v>
      </c>
      <c r="R393" s="48"/>
      <c r="S393" s="48">
        <v>189798</v>
      </c>
      <c r="T393" s="48"/>
      <c r="U393" s="48">
        <v>0</v>
      </c>
      <c r="V393" s="48"/>
      <c r="W393" s="48">
        <v>0</v>
      </c>
      <c r="X393" s="48"/>
      <c r="Y393" s="48">
        <v>14259</v>
      </c>
      <c r="Z393" s="48"/>
      <c r="AA393" s="48">
        <v>0</v>
      </c>
      <c r="AB393" s="48"/>
      <c r="AC393" s="48">
        <v>73602</v>
      </c>
      <c r="AD393" s="48"/>
      <c r="AE393" s="48">
        <v>0</v>
      </c>
      <c r="AF393" s="48"/>
      <c r="AG393" s="48">
        <v>0</v>
      </c>
      <c r="AH393" s="19">
        <f t="shared" si="20"/>
        <v>4858708</v>
      </c>
      <c r="AI393" s="48">
        <f t="shared" si="21"/>
        <v>4858708</v>
      </c>
      <c r="AJ393" s="5"/>
      <c r="AK393" s="4"/>
      <c r="AL393" s="4"/>
      <c r="AM393" s="4"/>
    </row>
    <row r="394" spans="1:39" s="67" customFormat="1" ht="12" customHeight="1" x14ac:dyDescent="0.2">
      <c r="A394" s="1" t="s">
        <v>806</v>
      </c>
      <c r="B394" s="1"/>
      <c r="C394" s="1" t="s">
        <v>430</v>
      </c>
      <c r="D394" s="1"/>
      <c r="E394" s="48">
        <v>8842.34</v>
      </c>
      <c r="F394" s="48"/>
      <c r="G394" s="48">
        <v>2438.66</v>
      </c>
      <c r="H394" s="48"/>
      <c r="I394" s="48">
        <v>10145.77</v>
      </c>
      <c r="J394" s="48"/>
      <c r="K394" s="48">
        <v>0</v>
      </c>
      <c r="L394" s="48"/>
      <c r="M394" s="48">
        <v>0</v>
      </c>
      <c r="N394" s="48"/>
      <c r="O394" s="48">
        <v>0</v>
      </c>
      <c r="P394" s="48"/>
      <c r="Q394" s="48">
        <v>2.14</v>
      </c>
      <c r="R394" s="48"/>
      <c r="S394" s="48">
        <v>0</v>
      </c>
      <c r="T394" s="48"/>
      <c r="U394" s="48">
        <v>0</v>
      </c>
      <c r="V394" s="48"/>
      <c r="W394" s="48">
        <v>0</v>
      </c>
      <c r="X394" s="48"/>
      <c r="Y394" s="48">
        <v>0</v>
      </c>
      <c r="Z394" s="48"/>
      <c r="AA394" s="48">
        <v>0</v>
      </c>
      <c r="AB394" s="48"/>
      <c r="AC394" s="48">
        <v>0</v>
      </c>
      <c r="AD394" s="48"/>
      <c r="AE394" s="48">
        <v>0</v>
      </c>
      <c r="AF394" s="48"/>
      <c r="AG394" s="48">
        <v>179.67</v>
      </c>
      <c r="AH394" s="19">
        <f t="shared" si="20"/>
        <v>21428.91</v>
      </c>
      <c r="AI394" s="48">
        <f t="shared" si="21"/>
        <v>21608.579999999998</v>
      </c>
      <c r="AJ394" s="5"/>
    </row>
    <row r="395" spans="1:39" ht="12" customHeight="1" x14ac:dyDescent="0.2">
      <c r="A395" s="1" t="s">
        <v>18</v>
      </c>
      <c r="C395" s="1" t="s">
        <v>261</v>
      </c>
      <c r="E395" s="48">
        <v>7540.64</v>
      </c>
      <c r="F395" s="48"/>
      <c r="G395" s="48">
        <v>0</v>
      </c>
      <c r="H395" s="48"/>
      <c r="I395" s="48">
        <v>19297.86</v>
      </c>
      <c r="J395" s="48"/>
      <c r="K395" s="48">
        <v>0</v>
      </c>
      <c r="L395" s="48"/>
      <c r="M395" s="48">
        <v>0</v>
      </c>
      <c r="N395" s="48"/>
      <c r="O395" s="48">
        <v>0</v>
      </c>
      <c r="P395" s="48"/>
      <c r="Q395" s="48">
        <v>122.32</v>
      </c>
      <c r="R395" s="48"/>
      <c r="S395" s="48">
        <v>4006.34</v>
      </c>
      <c r="T395" s="48"/>
      <c r="U395" s="48">
        <v>0</v>
      </c>
      <c r="V395" s="48"/>
      <c r="W395" s="48">
        <v>0</v>
      </c>
      <c r="X395" s="48"/>
      <c r="Y395" s="48">
        <v>0</v>
      </c>
      <c r="Z395" s="48"/>
      <c r="AA395" s="48">
        <v>0</v>
      </c>
      <c r="AB395" s="48"/>
      <c r="AC395" s="48">
        <v>0</v>
      </c>
      <c r="AD395" s="48"/>
      <c r="AE395" s="48">
        <v>0</v>
      </c>
      <c r="AF395" s="48"/>
      <c r="AG395" s="48">
        <v>0</v>
      </c>
      <c r="AH395" s="19">
        <f t="shared" si="20"/>
        <v>30967.16</v>
      </c>
      <c r="AI395" s="48">
        <f t="shared" si="21"/>
        <v>30967.16</v>
      </c>
      <c r="AJ395" s="5"/>
    </row>
    <row r="396" spans="1:39" ht="12" customHeight="1" x14ac:dyDescent="0.2">
      <c r="A396" s="1" t="s">
        <v>226</v>
      </c>
      <c r="C396" s="1" t="s">
        <v>541</v>
      </c>
      <c r="E396" s="48">
        <v>35589.25</v>
      </c>
      <c r="F396" s="48"/>
      <c r="G396" s="48">
        <v>270793</v>
      </c>
      <c r="H396" s="48"/>
      <c r="I396" s="48">
        <v>52162.78</v>
      </c>
      <c r="J396" s="48"/>
      <c r="K396" s="48">
        <v>0</v>
      </c>
      <c r="L396" s="48"/>
      <c r="M396" s="48">
        <v>141341.07</v>
      </c>
      <c r="N396" s="48"/>
      <c r="O396" s="48">
        <v>105206.71</v>
      </c>
      <c r="P396" s="48"/>
      <c r="Q396" s="48">
        <v>3602.29</v>
      </c>
      <c r="R396" s="48"/>
      <c r="S396" s="48">
        <v>4251.4799999999996</v>
      </c>
      <c r="T396" s="48"/>
      <c r="U396" s="48">
        <v>0</v>
      </c>
      <c r="V396" s="48"/>
      <c r="W396" s="48">
        <v>0</v>
      </c>
      <c r="X396" s="48"/>
      <c r="Y396" s="48">
        <v>0</v>
      </c>
      <c r="Z396" s="48"/>
      <c r="AA396" s="48">
        <v>0</v>
      </c>
      <c r="AB396" s="48"/>
      <c r="AC396" s="48">
        <v>45000</v>
      </c>
      <c r="AD396" s="48"/>
      <c r="AE396" s="48">
        <v>13760</v>
      </c>
      <c r="AF396" s="48"/>
      <c r="AG396" s="48">
        <v>0</v>
      </c>
      <c r="AH396" s="19">
        <f t="shared" si="20"/>
        <v>671706.58000000007</v>
      </c>
      <c r="AI396" s="48">
        <f t="shared" si="21"/>
        <v>671706.58000000007</v>
      </c>
      <c r="AJ396" s="5"/>
      <c r="AK396" s="67"/>
      <c r="AL396" s="67"/>
      <c r="AM396" s="67"/>
    </row>
    <row r="397" spans="1:39" ht="12" customHeight="1" x14ac:dyDescent="0.2">
      <c r="A397" s="1" t="s">
        <v>279</v>
      </c>
      <c r="C397" s="1" t="s">
        <v>277</v>
      </c>
      <c r="E397" s="48">
        <v>170657.08</v>
      </c>
      <c r="F397" s="48"/>
      <c r="G397" s="48">
        <v>29541.13</v>
      </c>
      <c r="H397" s="48"/>
      <c r="I397" s="48">
        <v>208134.57</v>
      </c>
      <c r="J397" s="48"/>
      <c r="K397" s="48">
        <v>0</v>
      </c>
      <c r="L397" s="48"/>
      <c r="M397" s="48">
        <v>11280.5</v>
      </c>
      <c r="N397" s="48"/>
      <c r="O397" s="48">
        <v>1643.3</v>
      </c>
      <c r="P397" s="48"/>
      <c r="Q397" s="48">
        <v>2410.15</v>
      </c>
      <c r="R397" s="48"/>
      <c r="S397" s="48">
        <v>24976.59</v>
      </c>
      <c r="T397" s="48"/>
      <c r="U397" s="48">
        <v>0</v>
      </c>
      <c r="V397" s="48"/>
      <c r="W397" s="48">
        <v>0</v>
      </c>
      <c r="X397" s="48"/>
      <c r="Y397" s="48">
        <v>4701</v>
      </c>
      <c r="Z397" s="48"/>
      <c r="AA397" s="48">
        <v>0</v>
      </c>
      <c r="AB397" s="48"/>
      <c r="AC397" s="48">
        <v>0</v>
      </c>
      <c r="AD397" s="48"/>
      <c r="AE397" s="48">
        <v>0</v>
      </c>
      <c r="AF397" s="48"/>
      <c r="AG397" s="48">
        <v>200922.59</v>
      </c>
      <c r="AH397" s="19">
        <f t="shared" si="20"/>
        <v>453344.32000000007</v>
      </c>
      <c r="AI397" s="48">
        <f t="shared" si="21"/>
        <v>654266.91</v>
      </c>
      <c r="AJ397" s="5"/>
    </row>
    <row r="398" spans="1:39" s="67" customFormat="1" ht="12" customHeight="1" x14ac:dyDescent="0.2">
      <c r="A398" s="1" t="s">
        <v>849</v>
      </c>
      <c r="B398" s="1"/>
      <c r="C398" s="1" t="s">
        <v>360</v>
      </c>
      <c r="D398" s="1"/>
      <c r="E398" s="48">
        <v>43048.03</v>
      </c>
      <c r="F398" s="48"/>
      <c r="G398" s="48">
        <v>0</v>
      </c>
      <c r="H398" s="48"/>
      <c r="I398" s="48">
        <v>20270.54</v>
      </c>
      <c r="J398" s="48"/>
      <c r="K398" s="48">
        <v>0</v>
      </c>
      <c r="L398" s="48"/>
      <c r="M398" s="48">
        <v>0</v>
      </c>
      <c r="N398" s="48"/>
      <c r="O398" s="48">
        <v>30</v>
      </c>
      <c r="P398" s="48"/>
      <c r="Q398" s="48">
        <v>38.33</v>
      </c>
      <c r="R398" s="48"/>
      <c r="S398" s="48">
        <v>723.79</v>
      </c>
      <c r="T398" s="48"/>
      <c r="U398" s="48">
        <v>0</v>
      </c>
      <c r="V398" s="48"/>
      <c r="W398" s="48">
        <v>0</v>
      </c>
      <c r="X398" s="48"/>
      <c r="Y398" s="48">
        <v>0</v>
      </c>
      <c r="Z398" s="48"/>
      <c r="AA398" s="48">
        <v>0</v>
      </c>
      <c r="AB398" s="48"/>
      <c r="AC398" s="48">
        <v>0</v>
      </c>
      <c r="AD398" s="48"/>
      <c r="AE398" s="48">
        <v>0</v>
      </c>
      <c r="AF398" s="48"/>
      <c r="AG398" s="48">
        <v>0</v>
      </c>
      <c r="AH398" s="19">
        <f t="shared" si="20"/>
        <v>64110.69</v>
      </c>
      <c r="AI398" s="48">
        <f t="shared" si="21"/>
        <v>64110.69</v>
      </c>
      <c r="AJ398" s="8"/>
      <c r="AK398" s="6"/>
      <c r="AL398" s="6"/>
      <c r="AM398" s="6"/>
    </row>
    <row r="399" spans="1:39" s="67" customFormat="1" ht="12" customHeight="1" x14ac:dyDescent="0.2">
      <c r="A399" s="1" t="s">
        <v>232</v>
      </c>
      <c r="B399" s="1"/>
      <c r="C399" s="1" t="s">
        <v>547</v>
      </c>
      <c r="D399" s="1"/>
      <c r="E399" s="48">
        <v>13708.75</v>
      </c>
      <c r="F399" s="48"/>
      <c r="G399" s="48">
        <v>103205.4</v>
      </c>
      <c r="H399" s="48"/>
      <c r="I399" s="48">
        <v>9839.56</v>
      </c>
      <c r="J399" s="48"/>
      <c r="K399" s="48">
        <v>0</v>
      </c>
      <c r="L399" s="48"/>
      <c r="M399" s="48">
        <v>160</v>
      </c>
      <c r="N399" s="48"/>
      <c r="O399" s="48">
        <v>70431.19</v>
      </c>
      <c r="P399" s="48"/>
      <c r="Q399" s="48">
        <v>28.21</v>
      </c>
      <c r="R399" s="48"/>
      <c r="S399" s="48">
        <v>2471.2399999999998</v>
      </c>
      <c r="T399" s="48"/>
      <c r="U399" s="48">
        <v>0</v>
      </c>
      <c r="V399" s="48"/>
      <c r="W399" s="48">
        <v>0</v>
      </c>
      <c r="X399" s="48"/>
      <c r="Y399" s="48">
        <v>0</v>
      </c>
      <c r="Z399" s="48"/>
      <c r="AA399" s="48">
        <v>0</v>
      </c>
      <c r="AB399" s="48"/>
      <c r="AC399" s="48">
        <v>0</v>
      </c>
      <c r="AD399" s="48"/>
      <c r="AE399" s="48">
        <v>0</v>
      </c>
      <c r="AF399" s="48"/>
      <c r="AG399" s="48">
        <v>0</v>
      </c>
      <c r="AH399" s="19">
        <f t="shared" si="20"/>
        <v>199844.34999999998</v>
      </c>
      <c r="AI399" s="48">
        <f t="shared" si="21"/>
        <v>199844.34999999998</v>
      </c>
      <c r="AJ399" s="17"/>
      <c r="AK399" s="4"/>
      <c r="AL399" s="4"/>
      <c r="AM399" s="4"/>
    </row>
    <row r="400" spans="1:39" ht="12" customHeight="1" x14ac:dyDescent="0.2">
      <c r="A400" s="1" t="s">
        <v>132</v>
      </c>
      <c r="C400" s="1" t="s">
        <v>401</v>
      </c>
      <c r="E400" s="48">
        <v>14674.55</v>
      </c>
      <c r="F400" s="48"/>
      <c r="G400" s="48">
        <v>501791.31</v>
      </c>
      <c r="H400" s="48"/>
      <c r="I400" s="48">
        <v>114579.64</v>
      </c>
      <c r="J400" s="48"/>
      <c r="K400" s="48">
        <v>0</v>
      </c>
      <c r="L400" s="48"/>
      <c r="M400" s="48">
        <v>0</v>
      </c>
      <c r="N400" s="48"/>
      <c r="O400" s="48">
        <v>28893.53</v>
      </c>
      <c r="P400" s="48"/>
      <c r="Q400" s="48">
        <v>488.71</v>
      </c>
      <c r="R400" s="48"/>
      <c r="S400" s="48">
        <v>1920.01</v>
      </c>
      <c r="T400" s="48"/>
      <c r="U400" s="48">
        <v>50000</v>
      </c>
      <c r="V400" s="48"/>
      <c r="W400" s="48">
        <v>0</v>
      </c>
      <c r="X400" s="48"/>
      <c r="Y400" s="48">
        <v>0</v>
      </c>
      <c r="Z400" s="48"/>
      <c r="AA400" s="48">
        <v>0</v>
      </c>
      <c r="AB400" s="48"/>
      <c r="AC400" s="48">
        <v>5000</v>
      </c>
      <c r="AD400" s="48"/>
      <c r="AE400" s="48">
        <v>0</v>
      </c>
      <c r="AF400" s="48"/>
      <c r="AG400" s="48">
        <v>0</v>
      </c>
      <c r="AH400" s="19">
        <f t="shared" si="20"/>
        <v>717347.75</v>
      </c>
      <c r="AI400" s="48">
        <f t="shared" si="21"/>
        <v>717347.75</v>
      </c>
      <c r="AJ400" s="5"/>
      <c r="AK400" s="67"/>
      <c r="AL400" s="67"/>
      <c r="AM400" s="67"/>
    </row>
    <row r="401" spans="1:39" s="67" customFormat="1" ht="12" customHeight="1" x14ac:dyDescent="0.2">
      <c r="A401" s="1" t="s">
        <v>94</v>
      </c>
      <c r="B401" s="1"/>
      <c r="C401" s="1" t="s">
        <v>366</v>
      </c>
      <c r="D401" s="1"/>
      <c r="E401" s="48">
        <v>10912</v>
      </c>
      <c r="F401" s="48"/>
      <c r="G401" s="48">
        <v>8539.56</v>
      </c>
      <c r="H401" s="48"/>
      <c r="I401" s="48">
        <v>11156.71</v>
      </c>
      <c r="J401" s="48"/>
      <c r="K401" s="48">
        <v>0</v>
      </c>
      <c r="L401" s="48"/>
      <c r="M401" s="48">
        <v>0</v>
      </c>
      <c r="N401" s="48"/>
      <c r="O401" s="48">
        <v>3601.15</v>
      </c>
      <c r="P401" s="48"/>
      <c r="Q401" s="48">
        <v>810.37</v>
      </c>
      <c r="R401" s="48"/>
      <c r="S401" s="48">
        <v>29284.02</v>
      </c>
      <c r="T401" s="48"/>
      <c r="U401" s="48">
        <v>0</v>
      </c>
      <c r="V401" s="48"/>
      <c r="W401" s="48">
        <v>0</v>
      </c>
      <c r="X401" s="48"/>
      <c r="Y401" s="48">
        <v>0</v>
      </c>
      <c r="Z401" s="48"/>
      <c r="AA401" s="48">
        <v>0</v>
      </c>
      <c r="AB401" s="48"/>
      <c r="AC401" s="48">
        <v>0</v>
      </c>
      <c r="AD401" s="48"/>
      <c r="AE401" s="48">
        <v>0</v>
      </c>
      <c r="AF401" s="48"/>
      <c r="AG401" s="48">
        <v>0</v>
      </c>
      <c r="AH401" s="19">
        <f t="shared" si="20"/>
        <v>64303.81</v>
      </c>
      <c r="AI401" s="48">
        <f t="shared" si="21"/>
        <v>64303.81</v>
      </c>
      <c r="AJ401" s="5"/>
    </row>
    <row r="402" spans="1:39" s="67" customFormat="1" ht="12" customHeight="1" x14ac:dyDescent="0.2">
      <c r="A402" s="1" t="s">
        <v>380</v>
      </c>
      <c r="B402" s="1"/>
      <c r="C402" s="1" t="s">
        <v>379</v>
      </c>
      <c r="D402" s="1"/>
      <c r="E402" s="48">
        <v>12861.73</v>
      </c>
      <c r="F402" s="48"/>
      <c r="G402" s="48">
        <v>0</v>
      </c>
      <c r="H402" s="48"/>
      <c r="I402" s="48">
        <v>20855.34</v>
      </c>
      <c r="J402" s="48"/>
      <c r="K402" s="48">
        <v>0</v>
      </c>
      <c r="L402" s="48"/>
      <c r="M402" s="48">
        <v>0</v>
      </c>
      <c r="N402" s="48"/>
      <c r="O402" s="48">
        <v>2767.97</v>
      </c>
      <c r="P402" s="48"/>
      <c r="Q402" s="48">
        <v>7.38</v>
      </c>
      <c r="R402" s="48"/>
      <c r="S402" s="48">
        <v>12510.48</v>
      </c>
      <c r="T402" s="48"/>
      <c r="U402" s="48">
        <v>0</v>
      </c>
      <c r="V402" s="48"/>
      <c r="W402" s="48">
        <v>0</v>
      </c>
      <c r="X402" s="48"/>
      <c r="Y402" s="48">
        <v>0</v>
      </c>
      <c r="Z402" s="48"/>
      <c r="AA402" s="48">
        <v>0</v>
      </c>
      <c r="AB402" s="48"/>
      <c r="AC402" s="48">
        <v>0</v>
      </c>
      <c r="AD402" s="48"/>
      <c r="AE402" s="48">
        <v>0</v>
      </c>
      <c r="AF402" s="48"/>
      <c r="AG402" s="48">
        <v>0</v>
      </c>
      <c r="AH402" s="19">
        <f t="shared" si="20"/>
        <v>49002.899999999994</v>
      </c>
      <c r="AI402" s="48">
        <f t="shared" si="21"/>
        <v>49002.899999999994</v>
      </c>
      <c r="AJ402" s="5"/>
    </row>
    <row r="403" spans="1:39" ht="12" customHeight="1" x14ac:dyDescent="0.2">
      <c r="A403" s="1" t="s">
        <v>833</v>
      </c>
      <c r="C403" s="1" t="s">
        <v>226</v>
      </c>
      <c r="E403" s="48">
        <v>82110</v>
      </c>
      <c r="F403" s="48"/>
      <c r="G403" s="48">
        <v>848177</v>
      </c>
      <c r="H403" s="48"/>
      <c r="I403" s="48">
        <v>50657</v>
      </c>
      <c r="J403" s="48"/>
      <c r="K403" s="48">
        <v>0</v>
      </c>
      <c r="L403" s="48"/>
      <c r="M403" s="48">
        <v>725</v>
      </c>
      <c r="N403" s="48"/>
      <c r="O403" s="48">
        <v>42842</v>
      </c>
      <c r="P403" s="48"/>
      <c r="Q403" s="48">
        <v>11530</v>
      </c>
      <c r="R403" s="48"/>
      <c r="S403" s="48">
        <v>61822</v>
      </c>
      <c r="T403" s="48"/>
      <c r="U403" s="48">
        <v>0</v>
      </c>
      <c r="V403" s="48"/>
      <c r="W403" s="48">
        <v>0</v>
      </c>
      <c r="X403" s="48"/>
      <c r="Y403" s="48">
        <v>0</v>
      </c>
      <c r="Z403" s="48"/>
      <c r="AA403" s="48">
        <v>0</v>
      </c>
      <c r="AB403" s="48"/>
      <c r="AC403" s="48">
        <v>0</v>
      </c>
      <c r="AD403" s="48"/>
      <c r="AE403" s="48">
        <v>0</v>
      </c>
      <c r="AF403" s="48"/>
      <c r="AG403" s="48">
        <v>0</v>
      </c>
      <c r="AH403" s="19">
        <f t="shared" si="20"/>
        <v>1097863</v>
      </c>
      <c r="AI403" s="48">
        <f t="shared" si="21"/>
        <v>1097863</v>
      </c>
      <c r="AJ403" s="5"/>
      <c r="AK403" s="67"/>
      <c r="AL403" s="67"/>
      <c r="AM403" s="67"/>
    </row>
    <row r="404" spans="1:39" s="67" customFormat="1" ht="12" customHeight="1" x14ac:dyDescent="0.2">
      <c r="A404" s="1" t="s">
        <v>24</v>
      </c>
      <c r="B404" s="1"/>
      <c r="C404" s="1" t="s">
        <v>265</v>
      </c>
      <c r="D404" s="1"/>
      <c r="E404" s="48">
        <v>62625.38</v>
      </c>
      <c r="F404" s="48"/>
      <c r="G404" s="48">
        <v>944784.99</v>
      </c>
      <c r="H404" s="48"/>
      <c r="I404" s="48">
        <v>46731.6</v>
      </c>
      <c r="J404" s="48"/>
      <c r="K404" s="48">
        <v>0</v>
      </c>
      <c r="L404" s="48"/>
      <c r="M404" s="48">
        <v>494.19</v>
      </c>
      <c r="N404" s="48"/>
      <c r="O404" s="48">
        <v>188661.24</v>
      </c>
      <c r="P404" s="48"/>
      <c r="Q404" s="48">
        <v>5031.4399999999996</v>
      </c>
      <c r="R404" s="48"/>
      <c r="S404" s="48">
        <v>7854.44</v>
      </c>
      <c r="T404" s="48"/>
      <c r="U404" s="48">
        <v>0</v>
      </c>
      <c r="V404" s="48"/>
      <c r="W404" s="48">
        <v>0</v>
      </c>
      <c r="X404" s="48"/>
      <c r="Y404" s="48">
        <v>5000</v>
      </c>
      <c r="Z404" s="48"/>
      <c r="AA404" s="48">
        <v>0</v>
      </c>
      <c r="AB404" s="48"/>
      <c r="AC404" s="48">
        <v>0</v>
      </c>
      <c r="AD404" s="48"/>
      <c r="AE404" s="48">
        <v>0</v>
      </c>
      <c r="AF404" s="48"/>
      <c r="AG404" s="48">
        <v>17117.61</v>
      </c>
      <c r="AH404" s="19">
        <f t="shared" si="20"/>
        <v>1261183.2799999998</v>
      </c>
      <c r="AI404" s="48">
        <f t="shared" si="21"/>
        <v>1278300.8899999999</v>
      </c>
      <c r="AJ404" s="5"/>
      <c r="AK404" s="4"/>
      <c r="AL404" s="4"/>
      <c r="AM404" s="4"/>
    </row>
    <row r="405" spans="1:39" s="67" customFormat="1" ht="12" customHeight="1" x14ac:dyDescent="0.2">
      <c r="A405" s="1" t="s">
        <v>107</v>
      </c>
      <c r="B405" s="1"/>
      <c r="C405" s="1" t="s">
        <v>790</v>
      </c>
      <c r="D405" s="1"/>
      <c r="E405" s="48">
        <v>30074.13</v>
      </c>
      <c r="F405" s="48"/>
      <c r="G405" s="48">
        <v>0</v>
      </c>
      <c r="H405" s="48"/>
      <c r="I405" s="48">
        <v>13917.57</v>
      </c>
      <c r="J405" s="48"/>
      <c r="K405" s="48">
        <v>0</v>
      </c>
      <c r="L405" s="48"/>
      <c r="M405" s="48">
        <v>9380</v>
      </c>
      <c r="N405" s="48"/>
      <c r="O405" s="48">
        <v>7586</v>
      </c>
      <c r="P405" s="48"/>
      <c r="Q405" s="48">
        <v>42.26</v>
      </c>
      <c r="R405" s="48"/>
      <c r="S405" s="48">
        <v>4419.46</v>
      </c>
      <c r="T405" s="48"/>
      <c r="U405" s="48">
        <v>0</v>
      </c>
      <c r="V405" s="48"/>
      <c r="W405" s="48">
        <v>0</v>
      </c>
      <c r="X405" s="48"/>
      <c r="Y405" s="48">
        <v>0</v>
      </c>
      <c r="Z405" s="48"/>
      <c r="AA405" s="48">
        <v>0</v>
      </c>
      <c r="AB405" s="48"/>
      <c r="AC405" s="48">
        <v>0</v>
      </c>
      <c r="AD405" s="48"/>
      <c r="AE405" s="48">
        <v>0</v>
      </c>
      <c r="AF405" s="48"/>
      <c r="AG405" s="48">
        <v>0</v>
      </c>
      <c r="AH405" s="19">
        <f t="shared" si="20"/>
        <v>65419.42</v>
      </c>
      <c r="AI405" s="48">
        <f t="shared" si="21"/>
        <v>65419.42</v>
      </c>
      <c r="AJ405" s="17"/>
      <c r="AK405" s="17"/>
      <c r="AL405" s="17"/>
      <c r="AM405" s="17"/>
    </row>
    <row r="406" spans="1:39" s="6" customFormat="1" ht="12" customHeight="1" x14ac:dyDescent="0.2">
      <c r="A406" s="1" t="s">
        <v>270</v>
      </c>
      <c r="B406" s="1"/>
      <c r="C406" s="1" t="s">
        <v>269</v>
      </c>
      <c r="D406" s="1"/>
      <c r="E406" s="48">
        <v>1895.38</v>
      </c>
      <c r="F406" s="48"/>
      <c r="G406" s="48">
        <v>0</v>
      </c>
      <c r="H406" s="48"/>
      <c r="I406" s="48">
        <v>3174.58</v>
      </c>
      <c r="J406" s="48"/>
      <c r="K406" s="48">
        <v>0</v>
      </c>
      <c r="L406" s="48"/>
      <c r="M406" s="48">
        <v>0</v>
      </c>
      <c r="N406" s="48"/>
      <c r="O406" s="48">
        <v>25</v>
      </c>
      <c r="P406" s="48"/>
      <c r="Q406" s="48">
        <v>9.3000000000000007</v>
      </c>
      <c r="R406" s="48"/>
      <c r="S406" s="48">
        <v>0</v>
      </c>
      <c r="T406" s="48"/>
      <c r="U406" s="48">
        <v>0</v>
      </c>
      <c r="V406" s="48"/>
      <c r="W406" s="48">
        <v>0</v>
      </c>
      <c r="X406" s="48"/>
      <c r="Y406" s="48">
        <v>0</v>
      </c>
      <c r="Z406" s="48"/>
      <c r="AA406" s="48">
        <v>0</v>
      </c>
      <c r="AB406" s="48"/>
      <c r="AC406" s="48">
        <v>0</v>
      </c>
      <c r="AD406" s="48"/>
      <c r="AE406" s="48">
        <v>73.91</v>
      </c>
      <c r="AF406" s="48"/>
      <c r="AG406" s="48">
        <v>0</v>
      </c>
      <c r="AH406" s="19">
        <f t="shared" si="20"/>
        <v>5178.17</v>
      </c>
      <c r="AI406" s="48">
        <f t="shared" si="21"/>
        <v>5178.17</v>
      </c>
      <c r="AJ406" s="5"/>
      <c r="AK406" s="67"/>
      <c r="AL406" s="67"/>
      <c r="AM406" s="67"/>
    </row>
    <row r="407" spans="1:39" ht="12" customHeight="1" x14ac:dyDescent="0.2">
      <c r="A407" s="1" t="s">
        <v>508</v>
      </c>
      <c r="C407" s="1" t="s">
        <v>502</v>
      </c>
      <c r="E407" s="48">
        <v>70110</v>
      </c>
      <c r="F407" s="48"/>
      <c r="G407" s="48">
        <v>0</v>
      </c>
      <c r="H407" s="48"/>
      <c r="I407" s="48">
        <v>164910</v>
      </c>
      <c r="J407" s="48"/>
      <c r="K407" s="48">
        <v>0</v>
      </c>
      <c r="L407" s="48"/>
      <c r="M407" s="48">
        <v>51563</v>
      </c>
      <c r="N407" s="48"/>
      <c r="O407" s="48">
        <v>850</v>
      </c>
      <c r="P407" s="48"/>
      <c r="Q407" s="48">
        <v>1451</v>
      </c>
      <c r="R407" s="48"/>
      <c r="S407" s="48">
        <v>38304</v>
      </c>
      <c r="T407" s="48"/>
      <c r="U407" s="48">
        <v>0</v>
      </c>
      <c r="V407" s="48"/>
      <c r="W407" s="48">
        <v>0</v>
      </c>
      <c r="X407" s="48"/>
      <c r="Y407" s="48">
        <v>0</v>
      </c>
      <c r="Z407" s="48"/>
      <c r="AA407" s="48">
        <v>464000</v>
      </c>
      <c r="AB407" s="48"/>
      <c r="AC407" s="48">
        <v>0</v>
      </c>
      <c r="AD407" s="48"/>
      <c r="AE407" s="48">
        <v>0</v>
      </c>
      <c r="AF407" s="48"/>
      <c r="AG407" s="48">
        <v>0</v>
      </c>
      <c r="AH407" s="19">
        <f t="shared" si="20"/>
        <v>791188</v>
      </c>
      <c r="AI407" s="48">
        <f t="shared" si="21"/>
        <v>791188</v>
      </c>
      <c r="AJ407" s="5"/>
    </row>
    <row r="408" spans="1:39" ht="12" customHeight="1" x14ac:dyDescent="0.2"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19"/>
      <c r="AI408" s="48"/>
      <c r="AJ408" s="5"/>
    </row>
    <row r="409" spans="1:39" ht="12" customHeight="1" x14ac:dyDescent="0.2"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19"/>
      <c r="AI409" s="88" t="s">
        <v>733</v>
      </c>
      <c r="AJ409" s="5"/>
    </row>
    <row r="410" spans="1:39" ht="12" customHeight="1" x14ac:dyDescent="0.2"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19"/>
      <c r="AI410" s="48"/>
      <c r="AJ410" s="5"/>
    </row>
    <row r="411" spans="1:39" ht="12" customHeight="1" x14ac:dyDescent="0.2">
      <c r="A411" s="1" t="s">
        <v>286</v>
      </c>
      <c r="C411" s="1" t="s">
        <v>285</v>
      </c>
      <c r="E411" s="68">
        <v>8391</v>
      </c>
      <c r="F411" s="48"/>
      <c r="G411" s="68">
        <v>0</v>
      </c>
      <c r="H411" s="68"/>
      <c r="I411" s="68">
        <v>0</v>
      </c>
      <c r="J411" s="68"/>
      <c r="K411" s="68">
        <v>5892</v>
      </c>
      <c r="L411" s="68"/>
      <c r="M411" s="68">
        <v>1840</v>
      </c>
      <c r="N411" s="68"/>
      <c r="O411" s="68">
        <v>0</v>
      </c>
      <c r="P411" s="68"/>
      <c r="Q411" s="68">
        <v>2</v>
      </c>
      <c r="R411" s="68"/>
      <c r="S411" s="68">
        <v>0</v>
      </c>
      <c r="T411" s="68"/>
      <c r="U411" s="68">
        <v>0</v>
      </c>
      <c r="V411" s="68"/>
      <c r="W411" s="68">
        <v>0</v>
      </c>
      <c r="X411" s="68"/>
      <c r="Y411" s="68">
        <v>0</v>
      </c>
      <c r="Z411" s="68"/>
      <c r="AA411" s="68">
        <v>0</v>
      </c>
      <c r="AB411" s="68"/>
      <c r="AC411" s="68">
        <v>0</v>
      </c>
      <c r="AD411" s="68"/>
      <c r="AE411" s="68">
        <v>0</v>
      </c>
      <c r="AF411" s="68"/>
      <c r="AG411" s="68">
        <v>0</v>
      </c>
      <c r="AH411" s="68">
        <f t="shared" si="20"/>
        <v>16125</v>
      </c>
      <c r="AI411" s="68">
        <f t="shared" si="21"/>
        <v>16125</v>
      </c>
      <c r="AJ411" s="5"/>
      <c r="AK411" s="67"/>
      <c r="AL411" s="67"/>
      <c r="AM411" s="67"/>
    </row>
    <row r="412" spans="1:39" s="67" customFormat="1" ht="12" customHeight="1" x14ac:dyDescent="0.2">
      <c r="A412" s="1" t="s">
        <v>567</v>
      </c>
      <c r="B412" s="1"/>
      <c r="C412" s="1" t="s">
        <v>566</v>
      </c>
      <c r="D412" s="1"/>
      <c r="E412" s="48">
        <v>63637</v>
      </c>
      <c r="F412" s="48"/>
      <c r="G412" s="48">
        <v>0</v>
      </c>
      <c r="H412" s="48"/>
      <c r="I412" s="48">
        <v>3468</v>
      </c>
      <c r="J412" s="48"/>
      <c r="K412" s="48">
        <v>0</v>
      </c>
      <c r="L412" s="48"/>
      <c r="M412" s="48">
        <v>0</v>
      </c>
      <c r="N412" s="48"/>
      <c r="O412" s="48">
        <v>603</v>
      </c>
      <c r="P412" s="48"/>
      <c r="Q412" s="48">
        <v>0</v>
      </c>
      <c r="R412" s="48"/>
      <c r="S412" s="48">
        <v>5140</v>
      </c>
      <c r="T412" s="48"/>
      <c r="U412" s="48">
        <v>0</v>
      </c>
      <c r="V412" s="48"/>
      <c r="W412" s="48">
        <v>0</v>
      </c>
      <c r="X412" s="48"/>
      <c r="Y412" s="48">
        <v>0</v>
      </c>
      <c r="Z412" s="48"/>
      <c r="AA412" s="48">
        <v>0</v>
      </c>
      <c r="AB412" s="48"/>
      <c r="AC412" s="48">
        <v>0</v>
      </c>
      <c r="AD412" s="48"/>
      <c r="AE412" s="48">
        <v>0</v>
      </c>
      <c r="AF412" s="48"/>
      <c r="AG412" s="48">
        <v>0</v>
      </c>
      <c r="AH412" s="19">
        <f t="shared" si="20"/>
        <v>72848</v>
      </c>
      <c r="AI412" s="48">
        <f t="shared" si="21"/>
        <v>72848</v>
      </c>
      <c r="AJ412" s="5"/>
      <c r="AK412" s="87"/>
      <c r="AL412" s="87"/>
      <c r="AM412" s="87"/>
    </row>
    <row r="413" spans="1:39" s="66" customFormat="1" ht="12" customHeight="1" x14ac:dyDescent="0.2">
      <c r="A413" s="1" t="s">
        <v>36</v>
      </c>
      <c r="B413" s="1"/>
      <c r="C413" s="1" t="s">
        <v>277</v>
      </c>
      <c r="D413" s="1"/>
      <c r="E413" s="48">
        <v>2358.4899999999998</v>
      </c>
      <c r="F413" s="48"/>
      <c r="G413" s="48">
        <v>0</v>
      </c>
      <c r="H413" s="48"/>
      <c r="I413" s="48">
        <v>9215.4599999999991</v>
      </c>
      <c r="J413" s="48"/>
      <c r="K413" s="48">
        <v>0</v>
      </c>
      <c r="L413" s="48"/>
      <c r="M413" s="48">
        <v>5090</v>
      </c>
      <c r="N413" s="48"/>
      <c r="O413" s="48">
        <v>0</v>
      </c>
      <c r="P413" s="48"/>
      <c r="Q413" s="48">
        <v>24.79</v>
      </c>
      <c r="R413" s="48"/>
      <c r="S413" s="48">
        <v>0</v>
      </c>
      <c r="T413" s="48"/>
      <c r="U413" s="48">
        <v>0</v>
      </c>
      <c r="V413" s="48"/>
      <c r="W413" s="48">
        <v>0</v>
      </c>
      <c r="X413" s="48"/>
      <c r="Y413" s="48">
        <v>0</v>
      </c>
      <c r="Z413" s="48"/>
      <c r="AA413" s="48">
        <v>185.09</v>
      </c>
      <c r="AB413" s="48"/>
      <c r="AC413" s="48">
        <v>0</v>
      </c>
      <c r="AD413" s="48"/>
      <c r="AE413" s="48">
        <v>0</v>
      </c>
      <c r="AF413" s="48"/>
      <c r="AG413" s="48">
        <v>0</v>
      </c>
      <c r="AH413" s="19">
        <f t="shared" si="20"/>
        <v>16873.829999999998</v>
      </c>
      <c r="AI413" s="48">
        <f t="shared" si="21"/>
        <v>16873.829999999998</v>
      </c>
      <c r="AJ413" s="5"/>
      <c r="AK413" s="1"/>
      <c r="AL413" s="1"/>
      <c r="AM413" s="1"/>
    </row>
    <row r="414" spans="1:39" s="67" customFormat="1" ht="12" customHeight="1" x14ac:dyDescent="0.2">
      <c r="A414" s="1" t="s">
        <v>847</v>
      </c>
      <c r="B414" s="1"/>
      <c r="C414" s="1" t="s">
        <v>390</v>
      </c>
      <c r="D414" s="1"/>
      <c r="E414" s="48">
        <v>11395</v>
      </c>
      <c r="F414" s="48"/>
      <c r="G414" s="48">
        <v>0</v>
      </c>
      <c r="H414" s="48"/>
      <c r="I414" s="48">
        <v>8038</v>
      </c>
      <c r="J414" s="48"/>
      <c r="K414" s="48">
        <v>0</v>
      </c>
      <c r="L414" s="48"/>
      <c r="M414" s="48">
        <v>0</v>
      </c>
      <c r="N414" s="48"/>
      <c r="O414" s="48">
        <v>2344</v>
      </c>
      <c r="P414" s="48"/>
      <c r="Q414" s="48">
        <v>31</v>
      </c>
      <c r="R414" s="48"/>
      <c r="S414" s="48">
        <v>624</v>
      </c>
      <c r="T414" s="48"/>
      <c r="U414" s="48">
        <v>0</v>
      </c>
      <c r="V414" s="48"/>
      <c r="W414" s="48">
        <v>0</v>
      </c>
      <c r="X414" s="48"/>
      <c r="Y414" s="48">
        <v>0</v>
      </c>
      <c r="Z414" s="48"/>
      <c r="AA414" s="48">
        <v>0</v>
      </c>
      <c r="AB414" s="48"/>
      <c r="AC414" s="48">
        <v>0</v>
      </c>
      <c r="AD414" s="48"/>
      <c r="AE414" s="48">
        <v>0</v>
      </c>
      <c r="AF414" s="48"/>
      <c r="AG414" s="48">
        <v>0</v>
      </c>
      <c r="AH414" s="19">
        <f t="shared" si="20"/>
        <v>22432</v>
      </c>
      <c r="AI414" s="48">
        <f t="shared" si="21"/>
        <v>22432</v>
      </c>
      <c r="AJ414" s="5"/>
      <c r="AK414" s="1"/>
      <c r="AL414" s="1"/>
      <c r="AM414" s="1"/>
    </row>
    <row r="415" spans="1:39" ht="12" customHeight="1" x14ac:dyDescent="0.2">
      <c r="A415" s="1" t="s">
        <v>98</v>
      </c>
      <c r="C415" s="1" t="s">
        <v>373</v>
      </c>
      <c r="E415" s="48">
        <v>19466.3</v>
      </c>
      <c r="F415" s="48"/>
      <c r="G415" s="48">
        <v>0</v>
      </c>
      <c r="H415" s="48"/>
      <c r="I415" s="48">
        <v>20473.349999999999</v>
      </c>
      <c r="J415" s="48"/>
      <c r="K415" s="48">
        <v>0</v>
      </c>
      <c r="L415" s="48"/>
      <c r="M415" s="48">
        <v>0</v>
      </c>
      <c r="N415" s="48"/>
      <c r="O415" s="48">
        <v>0</v>
      </c>
      <c r="P415" s="48"/>
      <c r="Q415" s="48">
        <v>40.58</v>
      </c>
      <c r="R415" s="48"/>
      <c r="S415" s="48">
        <v>2391.54</v>
      </c>
      <c r="T415" s="48"/>
      <c r="U415" s="48">
        <v>0</v>
      </c>
      <c r="V415" s="48"/>
      <c r="W415" s="48">
        <v>0</v>
      </c>
      <c r="X415" s="48"/>
      <c r="Y415" s="48">
        <v>0</v>
      </c>
      <c r="Z415" s="48"/>
      <c r="AA415" s="48">
        <v>0</v>
      </c>
      <c r="AB415" s="48"/>
      <c r="AC415" s="48">
        <v>0</v>
      </c>
      <c r="AD415" s="48"/>
      <c r="AE415" s="48">
        <v>431.5</v>
      </c>
      <c r="AF415" s="48"/>
      <c r="AG415" s="48">
        <v>0</v>
      </c>
      <c r="AH415" s="19">
        <f t="shared" si="20"/>
        <v>42803.27</v>
      </c>
      <c r="AI415" s="48">
        <f t="shared" si="21"/>
        <v>42803.27</v>
      </c>
      <c r="AJ415" s="5"/>
      <c r="AK415" s="87"/>
      <c r="AL415" s="87"/>
      <c r="AM415" s="87"/>
    </row>
    <row r="416" spans="1:39" ht="12" customHeight="1" x14ac:dyDescent="0.2">
      <c r="A416" s="1" t="s">
        <v>104</v>
      </c>
      <c r="C416" s="1" t="s">
        <v>377</v>
      </c>
      <c r="E416" s="48">
        <v>4677.51</v>
      </c>
      <c r="F416" s="48"/>
      <c r="G416" s="48">
        <v>19594.34</v>
      </c>
      <c r="H416" s="48"/>
      <c r="I416" s="48">
        <v>2574.75</v>
      </c>
      <c r="J416" s="48"/>
      <c r="K416" s="48">
        <v>0</v>
      </c>
      <c r="L416" s="48"/>
      <c r="M416" s="48">
        <v>715</v>
      </c>
      <c r="N416" s="48"/>
      <c r="O416" s="48">
        <v>0</v>
      </c>
      <c r="P416" s="48"/>
      <c r="Q416" s="48">
        <v>1.65</v>
      </c>
      <c r="R416" s="48"/>
      <c r="S416" s="48">
        <v>3740</v>
      </c>
      <c r="T416" s="48"/>
      <c r="U416" s="48">
        <v>0</v>
      </c>
      <c r="V416" s="48"/>
      <c r="W416" s="48">
        <v>0</v>
      </c>
      <c r="X416" s="48"/>
      <c r="Y416" s="48">
        <v>0</v>
      </c>
      <c r="Z416" s="48"/>
      <c r="AA416" s="48">
        <v>0</v>
      </c>
      <c r="AB416" s="48"/>
      <c r="AC416" s="48">
        <v>0</v>
      </c>
      <c r="AD416" s="48"/>
      <c r="AE416" s="48">
        <v>0</v>
      </c>
      <c r="AF416" s="48"/>
      <c r="AG416" s="48">
        <v>0</v>
      </c>
      <c r="AH416" s="19">
        <f t="shared" si="20"/>
        <v>31303.25</v>
      </c>
      <c r="AI416" s="48">
        <f t="shared" si="21"/>
        <v>31303.25</v>
      </c>
      <c r="AJ416" s="5"/>
      <c r="AK416" s="67"/>
      <c r="AL416" s="67"/>
      <c r="AM416" s="67"/>
    </row>
    <row r="417" spans="1:39" s="67" customFormat="1" ht="12" customHeight="1" x14ac:dyDescent="0.2">
      <c r="A417" s="1" t="s">
        <v>139</v>
      </c>
      <c r="B417" s="1"/>
      <c r="C417" s="1" t="s">
        <v>430</v>
      </c>
      <c r="D417" s="1"/>
      <c r="E417" s="48">
        <v>5204.84</v>
      </c>
      <c r="F417" s="48"/>
      <c r="G417" s="48">
        <v>26498.1</v>
      </c>
      <c r="H417" s="48"/>
      <c r="I417" s="48">
        <v>6426.44</v>
      </c>
      <c r="J417" s="48"/>
      <c r="K417" s="48">
        <v>0</v>
      </c>
      <c r="L417" s="48"/>
      <c r="M417" s="48">
        <v>0</v>
      </c>
      <c r="N417" s="48"/>
      <c r="O417" s="48">
        <v>2387.91</v>
      </c>
      <c r="P417" s="48"/>
      <c r="Q417" s="48">
        <v>187.18</v>
      </c>
      <c r="R417" s="48"/>
      <c r="S417" s="48">
        <v>195.19</v>
      </c>
      <c r="T417" s="48"/>
      <c r="U417" s="48">
        <v>0</v>
      </c>
      <c r="V417" s="48"/>
      <c r="W417" s="48">
        <v>0</v>
      </c>
      <c r="X417" s="48"/>
      <c r="Y417" s="48">
        <v>0</v>
      </c>
      <c r="Z417" s="48"/>
      <c r="AA417" s="48">
        <v>0</v>
      </c>
      <c r="AB417" s="48"/>
      <c r="AC417" s="48">
        <v>0</v>
      </c>
      <c r="AD417" s="48"/>
      <c r="AE417" s="48">
        <v>0</v>
      </c>
      <c r="AF417" s="48"/>
      <c r="AG417" s="48">
        <v>0</v>
      </c>
      <c r="AH417" s="19">
        <f t="shared" si="20"/>
        <v>40899.659999999996</v>
      </c>
      <c r="AI417" s="48">
        <f t="shared" si="21"/>
        <v>40899.659999999996</v>
      </c>
      <c r="AJ417" s="5"/>
      <c r="AK417" s="1"/>
      <c r="AL417" s="1"/>
      <c r="AM417" s="1"/>
    </row>
    <row r="418" spans="1:39" ht="12" customHeight="1" x14ac:dyDescent="0.2">
      <c r="A418" s="1" t="s">
        <v>490</v>
      </c>
      <c r="C418" s="1" t="s">
        <v>491</v>
      </c>
      <c r="E418" s="48">
        <v>198094.05</v>
      </c>
      <c r="F418" s="48"/>
      <c r="G418" s="48">
        <v>1200588.1000000001</v>
      </c>
      <c r="H418" s="48"/>
      <c r="I418" s="48">
        <v>132428.75</v>
      </c>
      <c r="J418" s="48"/>
      <c r="K418" s="48">
        <v>0</v>
      </c>
      <c r="L418" s="48"/>
      <c r="M418" s="48">
        <v>22956.6</v>
      </c>
      <c r="N418" s="48"/>
      <c r="O418" s="48">
        <v>59641.88</v>
      </c>
      <c r="P418" s="48"/>
      <c r="Q418" s="48">
        <v>195.24</v>
      </c>
      <c r="R418" s="48"/>
      <c r="S418" s="48">
        <v>86401.3</v>
      </c>
      <c r="T418" s="48"/>
      <c r="U418" s="48">
        <v>0</v>
      </c>
      <c r="V418" s="48"/>
      <c r="W418" s="48">
        <v>0</v>
      </c>
      <c r="X418" s="48"/>
      <c r="Y418" s="48">
        <v>200</v>
      </c>
      <c r="Z418" s="48"/>
      <c r="AA418" s="48">
        <v>223357.39</v>
      </c>
      <c r="AB418" s="48"/>
      <c r="AC418" s="48">
        <v>0</v>
      </c>
      <c r="AD418" s="48"/>
      <c r="AE418" s="48">
        <v>0</v>
      </c>
      <c r="AF418" s="48"/>
      <c r="AG418" s="48">
        <v>0</v>
      </c>
      <c r="AH418" s="19">
        <f t="shared" si="20"/>
        <v>1923863.31</v>
      </c>
      <c r="AI418" s="48">
        <f t="shared" si="21"/>
        <v>1923863.31</v>
      </c>
      <c r="AJ418" s="5"/>
      <c r="AK418" s="67"/>
      <c r="AL418" s="67"/>
      <c r="AM418" s="67"/>
    </row>
    <row r="419" spans="1:39" ht="12" customHeight="1" x14ac:dyDescent="0.2">
      <c r="A419" s="1" t="s">
        <v>259</v>
      </c>
      <c r="C419" s="1" t="s">
        <v>257</v>
      </c>
      <c r="E419" s="48">
        <v>160875</v>
      </c>
      <c r="F419" s="48"/>
      <c r="G419" s="48">
        <v>2940501</v>
      </c>
      <c r="H419" s="48"/>
      <c r="I419" s="48">
        <v>251304</v>
      </c>
      <c r="J419" s="48"/>
      <c r="K419" s="48">
        <v>0</v>
      </c>
      <c r="L419" s="48"/>
      <c r="M419" s="48">
        <v>71744</v>
      </c>
      <c r="N419" s="48"/>
      <c r="O419" s="48">
        <v>12646</v>
      </c>
      <c r="P419" s="48"/>
      <c r="Q419" s="48">
        <v>21236</v>
      </c>
      <c r="R419" s="48"/>
      <c r="S419" s="48">
        <v>64941</v>
      </c>
      <c r="T419" s="48"/>
      <c r="U419" s="48">
        <v>0</v>
      </c>
      <c r="V419" s="48"/>
      <c r="W419" s="48">
        <v>0</v>
      </c>
      <c r="X419" s="48"/>
      <c r="Y419" s="48">
        <v>3164</v>
      </c>
      <c r="Z419" s="48"/>
      <c r="AA419" s="48">
        <v>0</v>
      </c>
      <c r="AB419" s="48"/>
      <c r="AC419" s="48">
        <v>0</v>
      </c>
      <c r="AD419" s="48"/>
      <c r="AE419" s="48">
        <v>100000</v>
      </c>
      <c r="AF419" s="48"/>
      <c r="AG419" s="48">
        <v>0</v>
      </c>
      <c r="AH419" s="19">
        <f t="shared" si="20"/>
        <v>3626411</v>
      </c>
      <c r="AI419" s="48">
        <f t="shared" si="21"/>
        <v>3626411</v>
      </c>
      <c r="AJ419" s="5"/>
    </row>
    <row r="420" spans="1:39" s="67" customFormat="1" ht="12" customHeight="1" x14ac:dyDescent="0.2">
      <c r="A420" s="17" t="s">
        <v>451</v>
      </c>
      <c r="B420" s="17"/>
      <c r="C420" s="17" t="s">
        <v>450</v>
      </c>
      <c r="D420" s="17"/>
      <c r="E420" s="48">
        <v>694122</v>
      </c>
      <c r="F420" s="48"/>
      <c r="G420" s="48">
        <v>0</v>
      </c>
      <c r="H420" s="48"/>
      <c r="I420" s="48">
        <v>63730</v>
      </c>
      <c r="J420" s="48"/>
      <c r="K420" s="48">
        <v>0</v>
      </c>
      <c r="L420" s="48"/>
      <c r="M420" s="48">
        <v>110</v>
      </c>
      <c r="N420" s="48"/>
      <c r="O420" s="48">
        <v>34779</v>
      </c>
      <c r="P420" s="48"/>
      <c r="Q420" s="48">
        <v>999</v>
      </c>
      <c r="R420" s="48"/>
      <c r="S420" s="48">
        <v>37205</v>
      </c>
      <c r="T420" s="48"/>
      <c r="U420" s="48">
        <v>0</v>
      </c>
      <c r="V420" s="48"/>
      <c r="W420" s="48">
        <v>28500</v>
      </c>
      <c r="X420" s="48"/>
      <c r="Y420" s="48">
        <v>0</v>
      </c>
      <c r="Z420" s="48"/>
      <c r="AA420" s="48">
        <v>11159</v>
      </c>
      <c r="AB420" s="48"/>
      <c r="AC420" s="48">
        <v>20000</v>
      </c>
      <c r="AD420" s="48"/>
      <c r="AE420" s="48">
        <v>0</v>
      </c>
      <c r="AF420" s="48"/>
      <c r="AG420" s="48">
        <v>0</v>
      </c>
      <c r="AH420" s="19">
        <f t="shared" si="20"/>
        <v>890604</v>
      </c>
      <c r="AI420" s="48">
        <f t="shared" si="21"/>
        <v>890604</v>
      </c>
      <c r="AJ420" s="5"/>
      <c r="AK420" s="87"/>
      <c r="AL420" s="87"/>
      <c r="AM420" s="87"/>
    </row>
    <row r="421" spans="1:39" ht="12" customHeight="1" x14ac:dyDescent="0.2">
      <c r="A421" s="1" t="s">
        <v>174</v>
      </c>
      <c r="C421" s="1" t="s">
        <v>467</v>
      </c>
      <c r="E421" s="48">
        <v>27182.47</v>
      </c>
      <c r="F421" s="48"/>
      <c r="G421" s="48">
        <v>0</v>
      </c>
      <c r="H421" s="48"/>
      <c r="I421" s="48">
        <v>17613.009999999998</v>
      </c>
      <c r="J421" s="48"/>
      <c r="K421" s="48">
        <v>0</v>
      </c>
      <c r="L421" s="48"/>
      <c r="M421" s="48">
        <v>0</v>
      </c>
      <c r="N421" s="48"/>
      <c r="O421" s="48">
        <v>1874.08</v>
      </c>
      <c r="P421" s="48"/>
      <c r="Q421" s="48">
        <v>1673.15</v>
      </c>
      <c r="R421" s="48"/>
      <c r="S421" s="48">
        <v>255.25</v>
      </c>
      <c r="T421" s="48"/>
      <c r="U421" s="48">
        <v>0</v>
      </c>
      <c r="V421" s="48"/>
      <c r="W421" s="48">
        <v>0</v>
      </c>
      <c r="X421" s="48"/>
      <c r="Y421" s="48">
        <v>0</v>
      </c>
      <c r="Z421" s="48"/>
      <c r="AA421" s="48">
        <v>0</v>
      </c>
      <c r="AB421" s="48"/>
      <c r="AC421" s="48">
        <v>1100</v>
      </c>
      <c r="AD421" s="48"/>
      <c r="AE421" s="48">
        <v>0</v>
      </c>
      <c r="AF421" s="48"/>
      <c r="AG421" s="48">
        <v>74.19</v>
      </c>
      <c r="AH421" s="19">
        <f t="shared" si="20"/>
        <v>49697.96</v>
      </c>
      <c r="AI421" s="48">
        <f t="shared" si="21"/>
        <v>49772.15</v>
      </c>
      <c r="AJ421" s="5"/>
    </row>
    <row r="422" spans="1:39" ht="12" customHeight="1" x14ac:dyDescent="0.2">
      <c r="A422" s="1" t="s">
        <v>12</v>
      </c>
      <c r="C422" s="1" t="s">
        <v>257</v>
      </c>
      <c r="E422" s="48">
        <v>61290.11</v>
      </c>
      <c r="F422" s="48"/>
      <c r="G422" s="48">
        <v>300570.06</v>
      </c>
      <c r="H422" s="48"/>
      <c r="I422" s="48">
        <v>50894.41</v>
      </c>
      <c r="J422" s="48"/>
      <c r="K422" s="48">
        <v>0</v>
      </c>
      <c r="L422" s="48"/>
      <c r="M422" s="48">
        <v>80794.77</v>
      </c>
      <c r="N422" s="48"/>
      <c r="O422" s="48">
        <v>3204</v>
      </c>
      <c r="P422" s="48"/>
      <c r="Q422" s="48">
        <v>3737.49</v>
      </c>
      <c r="R422" s="48"/>
      <c r="S422" s="48">
        <v>19003.009999999998</v>
      </c>
      <c r="T422" s="48"/>
      <c r="U422" s="48">
        <v>0</v>
      </c>
      <c r="V422" s="48"/>
      <c r="W422" s="48">
        <v>0</v>
      </c>
      <c r="X422" s="48"/>
      <c r="Y422" s="48">
        <v>0</v>
      </c>
      <c r="Z422" s="48"/>
      <c r="AA422" s="48">
        <v>1000</v>
      </c>
      <c r="AB422" s="48"/>
      <c r="AC422" s="48">
        <v>0</v>
      </c>
      <c r="AD422" s="48"/>
      <c r="AE422" s="48">
        <v>118.33</v>
      </c>
      <c r="AF422" s="48"/>
      <c r="AG422" s="48">
        <v>0</v>
      </c>
      <c r="AH422" s="19">
        <f t="shared" si="20"/>
        <v>520612.18</v>
      </c>
      <c r="AI422" s="48">
        <f t="shared" si="21"/>
        <v>520612.18</v>
      </c>
      <c r="AJ422" s="8"/>
      <c r="AK422" s="6"/>
      <c r="AL422" s="6"/>
      <c r="AM422" s="6"/>
    </row>
    <row r="423" spans="1:39" ht="12" customHeight="1" x14ac:dyDescent="0.2">
      <c r="A423" s="6" t="s">
        <v>447</v>
      </c>
      <c r="B423" s="6"/>
      <c r="C423" s="6" t="s">
        <v>446</v>
      </c>
      <c r="D423" s="6"/>
      <c r="E423" s="48">
        <v>60418</v>
      </c>
      <c r="F423" s="48"/>
      <c r="G423" s="48">
        <v>0</v>
      </c>
      <c r="H423" s="48"/>
      <c r="I423" s="48">
        <v>70025</v>
      </c>
      <c r="J423" s="48"/>
      <c r="K423" s="48">
        <v>11243</v>
      </c>
      <c r="L423" s="48"/>
      <c r="M423" s="48">
        <v>40905</v>
      </c>
      <c r="N423" s="48"/>
      <c r="O423" s="48">
        <v>2451</v>
      </c>
      <c r="P423" s="48"/>
      <c r="Q423" s="48">
        <v>8021</v>
      </c>
      <c r="R423" s="48"/>
      <c r="S423" s="48">
        <v>37039</v>
      </c>
      <c r="T423" s="48"/>
      <c r="U423" s="48">
        <v>0</v>
      </c>
      <c r="V423" s="48"/>
      <c r="W423" s="48">
        <v>0</v>
      </c>
      <c r="X423" s="48"/>
      <c r="Y423" s="48">
        <v>0</v>
      </c>
      <c r="Z423" s="48"/>
      <c r="AA423" s="48">
        <v>476779</v>
      </c>
      <c r="AB423" s="48"/>
      <c r="AC423" s="48">
        <v>0</v>
      </c>
      <c r="AD423" s="48"/>
      <c r="AE423" s="48">
        <v>7277</v>
      </c>
      <c r="AF423" s="48"/>
      <c r="AG423" s="48">
        <v>0</v>
      </c>
      <c r="AH423" s="19">
        <f t="shared" si="20"/>
        <v>714158</v>
      </c>
      <c r="AI423" s="48">
        <f t="shared" si="21"/>
        <v>714158</v>
      </c>
      <c r="AJ423" s="5"/>
    </row>
    <row r="424" spans="1:39" ht="12" customHeight="1" x14ac:dyDescent="0.2">
      <c r="A424" s="1" t="s">
        <v>834</v>
      </c>
      <c r="C424" s="1" t="s">
        <v>464</v>
      </c>
      <c r="E424" s="48">
        <v>62734.42</v>
      </c>
      <c r="F424" s="48"/>
      <c r="G424" s="48">
        <v>748862.89</v>
      </c>
      <c r="H424" s="48"/>
      <c r="I424" s="48">
        <v>64905.95</v>
      </c>
      <c r="J424" s="48"/>
      <c r="K424" s="48">
        <v>0</v>
      </c>
      <c r="L424" s="48"/>
      <c r="M424" s="48">
        <v>188439.48</v>
      </c>
      <c r="N424" s="48"/>
      <c r="O424" s="48">
        <v>60172.53</v>
      </c>
      <c r="P424" s="48"/>
      <c r="Q424" s="48">
        <v>2102.91</v>
      </c>
      <c r="R424" s="48"/>
      <c r="S424" s="48">
        <v>49875.43</v>
      </c>
      <c r="T424" s="48"/>
      <c r="U424" s="48">
        <v>0</v>
      </c>
      <c r="V424" s="48"/>
      <c r="W424" s="48">
        <v>0</v>
      </c>
      <c r="X424" s="48"/>
      <c r="Y424" s="48">
        <v>0</v>
      </c>
      <c r="Z424" s="48"/>
      <c r="AA424" s="48">
        <v>0</v>
      </c>
      <c r="AB424" s="48"/>
      <c r="AC424" s="48">
        <v>0</v>
      </c>
      <c r="AD424" s="48"/>
      <c r="AE424" s="48">
        <v>0</v>
      </c>
      <c r="AF424" s="48"/>
      <c r="AG424" s="48">
        <v>0</v>
      </c>
      <c r="AH424" s="19">
        <f t="shared" si="20"/>
        <v>1177093.6099999999</v>
      </c>
      <c r="AI424" s="48">
        <f t="shared" si="21"/>
        <v>1177093.6099999999</v>
      </c>
      <c r="AJ424" s="5"/>
      <c r="AK424" s="87"/>
      <c r="AL424" s="87"/>
      <c r="AM424" s="87"/>
    </row>
    <row r="425" spans="1:39" ht="12" customHeight="1" x14ac:dyDescent="0.2">
      <c r="A425" s="1" t="s">
        <v>387</v>
      </c>
      <c r="C425" s="1" t="s">
        <v>386</v>
      </c>
      <c r="E425" s="48">
        <v>59772.56</v>
      </c>
      <c r="F425" s="48"/>
      <c r="G425" s="48">
        <v>0</v>
      </c>
      <c r="H425" s="48"/>
      <c r="I425" s="48">
        <v>93014.93</v>
      </c>
      <c r="J425" s="48"/>
      <c r="K425" s="48">
        <v>0</v>
      </c>
      <c r="L425" s="48"/>
      <c r="M425" s="48">
        <v>99037.54</v>
      </c>
      <c r="N425" s="48"/>
      <c r="O425" s="48">
        <v>7351.27</v>
      </c>
      <c r="P425" s="48"/>
      <c r="Q425" s="48">
        <v>5242.38</v>
      </c>
      <c r="R425" s="48"/>
      <c r="S425" s="48">
        <v>0</v>
      </c>
      <c r="T425" s="48"/>
      <c r="U425" s="48">
        <v>0</v>
      </c>
      <c r="V425" s="48"/>
      <c r="W425" s="48">
        <v>0</v>
      </c>
      <c r="X425" s="48"/>
      <c r="Y425" s="48">
        <v>0</v>
      </c>
      <c r="Z425" s="48"/>
      <c r="AA425" s="48">
        <v>516472.87</v>
      </c>
      <c r="AB425" s="48"/>
      <c r="AC425" s="48">
        <v>0</v>
      </c>
      <c r="AD425" s="48"/>
      <c r="AE425" s="48">
        <v>0</v>
      </c>
      <c r="AF425" s="48"/>
      <c r="AG425" s="48">
        <v>0</v>
      </c>
      <c r="AH425" s="19">
        <f t="shared" si="20"/>
        <v>780891.54999999993</v>
      </c>
      <c r="AI425" s="48">
        <f t="shared" si="21"/>
        <v>780891.54999999993</v>
      </c>
      <c r="AJ425" s="5"/>
    </row>
    <row r="426" spans="1:39" s="67" customFormat="1" ht="12" customHeight="1" x14ac:dyDescent="0.2">
      <c r="A426" s="1" t="s">
        <v>807</v>
      </c>
      <c r="B426" s="1"/>
      <c r="C426" s="1" t="s">
        <v>480</v>
      </c>
      <c r="D426" s="1"/>
      <c r="E426" s="48">
        <v>42975.360000000001</v>
      </c>
      <c r="F426" s="48"/>
      <c r="G426" s="48">
        <v>112840.21</v>
      </c>
      <c r="H426" s="48"/>
      <c r="I426" s="48">
        <v>91277.81</v>
      </c>
      <c r="J426" s="48"/>
      <c r="K426" s="48">
        <v>0</v>
      </c>
      <c r="L426" s="48"/>
      <c r="M426" s="48">
        <v>5829.5</v>
      </c>
      <c r="N426" s="48"/>
      <c r="O426" s="48">
        <v>1408542.54</v>
      </c>
      <c r="P426" s="48"/>
      <c r="Q426" s="48">
        <v>925.94</v>
      </c>
      <c r="R426" s="48"/>
      <c r="S426" s="48">
        <v>5232.84</v>
      </c>
      <c r="T426" s="48"/>
      <c r="U426" s="48">
        <v>0</v>
      </c>
      <c r="V426" s="48"/>
      <c r="W426" s="48">
        <v>0</v>
      </c>
      <c r="X426" s="48"/>
      <c r="Y426" s="48">
        <v>70500</v>
      </c>
      <c r="Z426" s="48"/>
      <c r="AA426" s="48">
        <v>0</v>
      </c>
      <c r="AB426" s="48"/>
      <c r="AC426" s="48">
        <v>0</v>
      </c>
      <c r="AD426" s="48"/>
      <c r="AE426" s="48">
        <v>0</v>
      </c>
      <c r="AF426" s="48"/>
      <c r="AG426" s="48">
        <v>0</v>
      </c>
      <c r="AH426" s="19">
        <f t="shared" si="20"/>
        <v>1738124.2</v>
      </c>
      <c r="AI426" s="48">
        <f t="shared" si="21"/>
        <v>1738124.2</v>
      </c>
      <c r="AJ426" s="5"/>
    </row>
    <row r="427" spans="1:39" s="5" customFormat="1" ht="12" customHeight="1" x14ac:dyDescent="0.2">
      <c r="A427" s="1" t="s">
        <v>852</v>
      </c>
      <c r="B427" s="1"/>
      <c r="C427" s="1" t="s">
        <v>429</v>
      </c>
      <c r="D427" s="1"/>
      <c r="E427" s="48">
        <v>73396.83</v>
      </c>
      <c r="F427" s="48"/>
      <c r="G427" s="48">
        <v>0</v>
      </c>
      <c r="H427" s="48"/>
      <c r="I427" s="48">
        <v>12553.63</v>
      </c>
      <c r="J427" s="48"/>
      <c r="K427" s="48">
        <v>0</v>
      </c>
      <c r="L427" s="48"/>
      <c r="M427" s="48">
        <v>0</v>
      </c>
      <c r="N427" s="48"/>
      <c r="O427" s="48">
        <v>42571.4</v>
      </c>
      <c r="P427" s="48"/>
      <c r="Q427" s="48">
        <v>34.270000000000003</v>
      </c>
      <c r="R427" s="48"/>
      <c r="S427" s="48">
        <v>87494.67</v>
      </c>
      <c r="T427" s="48"/>
      <c r="U427" s="48">
        <v>0</v>
      </c>
      <c r="V427" s="48"/>
      <c r="W427" s="48">
        <v>0</v>
      </c>
      <c r="X427" s="48"/>
      <c r="Y427" s="48">
        <v>0</v>
      </c>
      <c r="Z427" s="48"/>
      <c r="AA427" s="48">
        <v>0</v>
      </c>
      <c r="AB427" s="48"/>
      <c r="AC427" s="48">
        <v>62500</v>
      </c>
      <c r="AD427" s="48"/>
      <c r="AE427" s="48">
        <v>2900</v>
      </c>
      <c r="AF427" s="48"/>
      <c r="AG427" s="48">
        <v>0</v>
      </c>
      <c r="AH427" s="19">
        <f t="shared" ref="AH427:AH464" si="22">SUM(D427:AF427)</f>
        <v>281450.80000000005</v>
      </c>
      <c r="AI427" s="48">
        <f t="shared" ref="AI427:AI465" si="23">SUM(E427:AG427)</f>
        <v>281450.80000000005</v>
      </c>
      <c r="AK427" s="1"/>
      <c r="AL427" s="1"/>
      <c r="AM427" s="1"/>
    </row>
    <row r="428" spans="1:39" s="5" customFormat="1" ht="12" customHeight="1" x14ac:dyDescent="0.2">
      <c r="A428" s="1" t="s">
        <v>473</v>
      </c>
      <c r="B428" s="1"/>
      <c r="C428" s="1" t="s">
        <v>472</v>
      </c>
      <c r="D428" s="1"/>
      <c r="E428" s="48">
        <v>79852.88</v>
      </c>
      <c r="F428" s="48"/>
      <c r="G428" s="48">
        <v>93863.75</v>
      </c>
      <c r="H428" s="48"/>
      <c r="I428" s="48">
        <v>60474.2</v>
      </c>
      <c r="J428" s="48"/>
      <c r="K428" s="48">
        <v>0</v>
      </c>
      <c r="L428" s="48"/>
      <c r="M428" s="48">
        <v>2405.9699999999998</v>
      </c>
      <c r="N428" s="48"/>
      <c r="O428" s="48">
        <v>7626.46</v>
      </c>
      <c r="P428" s="48"/>
      <c r="Q428" s="48">
        <v>318.17</v>
      </c>
      <c r="R428" s="48"/>
      <c r="S428" s="48">
        <v>4100.8100000000004</v>
      </c>
      <c r="T428" s="48"/>
      <c r="U428" s="48">
        <v>0</v>
      </c>
      <c r="V428" s="48"/>
      <c r="W428" s="48">
        <v>0</v>
      </c>
      <c r="X428" s="48"/>
      <c r="Y428" s="48">
        <v>0</v>
      </c>
      <c r="Z428" s="48"/>
      <c r="AA428" s="48">
        <v>0</v>
      </c>
      <c r="AB428" s="48"/>
      <c r="AC428" s="48">
        <v>0</v>
      </c>
      <c r="AD428" s="48"/>
      <c r="AE428" s="48">
        <v>200.6</v>
      </c>
      <c r="AF428" s="48"/>
      <c r="AG428" s="48">
        <v>0</v>
      </c>
      <c r="AH428" s="19">
        <f t="shared" si="22"/>
        <v>248842.84000000003</v>
      </c>
      <c r="AI428" s="48">
        <f t="shared" si="23"/>
        <v>248842.84000000003</v>
      </c>
      <c r="AK428" s="1"/>
      <c r="AL428" s="1"/>
      <c r="AM428" s="1"/>
    </row>
    <row r="429" spans="1:39" s="67" customFormat="1" ht="12" customHeight="1" x14ac:dyDescent="0.2">
      <c r="A429" s="1" t="s">
        <v>37</v>
      </c>
      <c r="B429" s="1"/>
      <c r="C429" s="1" t="s">
        <v>277</v>
      </c>
      <c r="D429" s="1"/>
      <c r="E429" s="48">
        <v>107964.44</v>
      </c>
      <c r="F429" s="48"/>
      <c r="G429" s="48">
        <v>460362.88</v>
      </c>
      <c r="H429" s="48"/>
      <c r="I429" s="48">
        <v>133828.51999999999</v>
      </c>
      <c r="J429" s="48"/>
      <c r="K429" s="48">
        <v>14245.26</v>
      </c>
      <c r="L429" s="48"/>
      <c r="M429" s="48">
        <v>0</v>
      </c>
      <c r="N429" s="48"/>
      <c r="O429" s="48">
        <v>49741.52</v>
      </c>
      <c r="P429" s="48"/>
      <c r="Q429" s="48">
        <v>4243.9799999999996</v>
      </c>
      <c r="R429" s="48"/>
      <c r="S429" s="48">
        <v>45742.13</v>
      </c>
      <c r="T429" s="48"/>
      <c r="U429" s="48">
        <v>0</v>
      </c>
      <c r="V429" s="48"/>
      <c r="W429" s="48">
        <v>0</v>
      </c>
      <c r="X429" s="48"/>
      <c r="Y429" s="48">
        <v>0</v>
      </c>
      <c r="Z429" s="48"/>
      <c r="AA429" s="48">
        <v>0</v>
      </c>
      <c r="AB429" s="48"/>
      <c r="AC429" s="48">
        <v>15935.13</v>
      </c>
      <c r="AD429" s="48"/>
      <c r="AE429" s="48">
        <v>0</v>
      </c>
      <c r="AF429" s="48"/>
      <c r="AG429" s="48">
        <v>0</v>
      </c>
      <c r="AH429" s="19">
        <f t="shared" si="22"/>
        <v>832063.8600000001</v>
      </c>
      <c r="AI429" s="48">
        <f t="shared" si="23"/>
        <v>832063.8600000001</v>
      </c>
      <c r="AJ429" s="5"/>
      <c r="AK429" s="1"/>
      <c r="AL429" s="1"/>
      <c r="AM429" s="1"/>
    </row>
    <row r="430" spans="1:39" s="67" customFormat="1" ht="12" customHeight="1" x14ac:dyDescent="0.2">
      <c r="A430" s="1" t="s">
        <v>205</v>
      </c>
      <c r="B430" s="1"/>
      <c r="C430" s="1" t="s">
        <v>494</v>
      </c>
      <c r="D430" s="1"/>
      <c r="E430" s="48">
        <v>11124.71</v>
      </c>
      <c r="F430" s="48"/>
      <c r="G430" s="48">
        <v>73608.539999999994</v>
      </c>
      <c r="H430" s="48"/>
      <c r="I430" s="48">
        <v>29082.46</v>
      </c>
      <c r="J430" s="48"/>
      <c r="K430" s="48">
        <v>0</v>
      </c>
      <c r="L430" s="48"/>
      <c r="M430" s="48">
        <v>231</v>
      </c>
      <c r="N430" s="48"/>
      <c r="O430" s="48">
        <v>1062.18</v>
      </c>
      <c r="P430" s="48"/>
      <c r="Q430" s="48">
        <v>137.32</v>
      </c>
      <c r="R430" s="48"/>
      <c r="S430" s="48">
        <v>497.03</v>
      </c>
      <c r="T430" s="48"/>
      <c r="U430" s="48">
        <v>0</v>
      </c>
      <c r="V430" s="48"/>
      <c r="W430" s="48">
        <v>0</v>
      </c>
      <c r="X430" s="48"/>
      <c r="Y430" s="48">
        <v>0</v>
      </c>
      <c r="Z430" s="48"/>
      <c r="AA430" s="48">
        <v>0</v>
      </c>
      <c r="AB430" s="48"/>
      <c r="AC430" s="48">
        <v>0</v>
      </c>
      <c r="AD430" s="48"/>
      <c r="AE430" s="48">
        <v>0</v>
      </c>
      <c r="AF430" s="48"/>
      <c r="AG430" s="48">
        <v>0</v>
      </c>
      <c r="AH430" s="19">
        <f t="shared" si="22"/>
        <v>115743.23999999999</v>
      </c>
      <c r="AI430" s="48">
        <f t="shared" si="23"/>
        <v>115743.23999999999</v>
      </c>
      <c r="AJ430" s="5"/>
      <c r="AK430" s="1"/>
      <c r="AL430" s="1"/>
      <c r="AM430" s="1"/>
    </row>
    <row r="431" spans="1:39" ht="12" customHeight="1" x14ac:dyDescent="0.2">
      <c r="A431" s="1" t="s">
        <v>649</v>
      </c>
      <c r="C431" s="1" t="s">
        <v>464</v>
      </c>
      <c r="E431" s="48">
        <v>39184.129999999997</v>
      </c>
      <c r="F431" s="48"/>
      <c r="G431" s="48">
        <v>0</v>
      </c>
      <c r="H431" s="48"/>
      <c r="I431" s="48">
        <v>21554.58</v>
      </c>
      <c r="J431" s="48"/>
      <c r="K431" s="48">
        <v>0</v>
      </c>
      <c r="L431" s="48"/>
      <c r="M431" s="48">
        <v>0</v>
      </c>
      <c r="N431" s="48"/>
      <c r="O431" s="48">
        <v>0</v>
      </c>
      <c r="P431" s="48"/>
      <c r="Q431" s="48">
        <v>0</v>
      </c>
      <c r="R431" s="48"/>
      <c r="S431" s="48">
        <v>4348.42</v>
      </c>
      <c r="T431" s="48"/>
      <c r="U431" s="48">
        <v>0</v>
      </c>
      <c r="V431" s="48"/>
      <c r="W431" s="48">
        <v>0</v>
      </c>
      <c r="X431" s="48"/>
      <c r="Y431" s="48">
        <v>0</v>
      </c>
      <c r="Z431" s="48"/>
      <c r="AA431" s="48">
        <v>1763.84</v>
      </c>
      <c r="AB431" s="48"/>
      <c r="AC431" s="48">
        <v>0</v>
      </c>
      <c r="AD431" s="48"/>
      <c r="AE431" s="48">
        <v>0</v>
      </c>
      <c r="AF431" s="48"/>
      <c r="AG431" s="48">
        <v>0</v>
      </c>
      <c r="AH431" s="19">
        <f t="shared" si="22"/>
        <v>66850.97</v>
      </c>
      <c r="AI431" s="48">
        <f t="shared" si="23"/>
        <v>66850.97</v>
      </c>
      <c r="AJ431" s="5"/>
    </row>
    <row r="432" spans="1:39" ht="12" customHeight="1" x14ac:dyDescent="0.2">
      <c r="A432" s="1" t="s">
        <v>40</v>
      </c>
      <c r="C432" s="1" t="s">
        <v>280</v>
      </c>
      <c r="E432" s="48">
        <v>24412.87</v>
      </c>
      <c r="F432" s="48"/>
      <c r="G432" s="48">
        <v>0</v>
      </c>
      <c r="H432" s="48"/>
      <c r="I432" s="48">
        <v>29605.86</v>
      </c>
      <c r="J432" s="48"/>
      <c r="K432" s="48">
        <v>3161.81</v>
      </c>
      <c r="L432" s="48"/>
      <c r="M432" s="48">
        <v>0</v>
      </c>
      <c r="N432" s="48"/>
      <c r="O432" s="48">
        <v>7079</v>
      </c>
      <c r="P432" s="48"/>
      <c r="Q432" s="48">
        <v>0</v>
      </c>
      <c r="R432" s="48"/>
      <c r="S432" s="48">
        <v>14461.98</v>
      </c>
      <c r="T432" s="48"/>
      <c r="U432" s="48">
        <v>0</v>
      </c>
      <c r="V432" s="48"/>
      <c r="W432" s="48">
        <v>0</v>
      </c>
      <c r="X432" s="48"/>
      <c r="Y432" s="48">
        <v>0</v>
      </c>
      <c r="Z432" s="48"/>
      <c r="AA432" s="48">
        <v>0</v>
      </c>
      <c r="AB432" s="48"/>
      <c r="AC432" s="48">
        <v>22000</v>
      </c>
      <c r="AD432" s="48"/>
      <c r="AE432" s="48">
        <v>0</v>
      </c>
      <c r="AF432" s="48"/>
      <c r="AG432" s="48">
        <v>0</v>
      </c>
      <c r="AH432" s="19">
        <f t="shared" si="22"/>
        <v>100721.51999999999</v>
      </c>
      <c r="AI432" s="48">
        <f t="shared" si="23"/>
        <v>100721.51999999999</v>
      </c>
      <c r="AJ432" s="17"/>
      <c r="AK432" s="4"/>
      <c r="AL432" s="4"/>
      <c r="AM432" s="4"/>
    </row>
    <row r="433" spans="1:36" ht="12" customHeight="1" x14ac:dyDescent="0.2">
      <c r="A433" s="1" t="s">
        <v>290</v>
      </c>
      <c r="C433" s="1" t="s">
        <v>289</v>
      </c>
      <c r="E433" s="48">
        <v>31309.62</v>
      </c>
      <c r="F433" s="48"/>
      <c r="G433" s="48">
        <v>303903.59000000003</v>
      </c>
      <c r="H433" s="48"/>
      <c r="I433" s="48">
        <v>32605.94</v>
      </c>
      <c r="J433" s="48"/>
      <c r="K433" s="48">
        <v>0</v>
      </c>
      <c r="L433" s="48"/>
      <c r="M433" s="48">
        <v>17015.55</v>
      </c>
      <c r="N433" s="48"/>
      <c r="O433" s="48">
        <v>10861.26</v>
      </c>
      <c r="P433" s="48"/>
      <c r="Q433" s="48">
        <v>920.28</v>
      </c>
      <c r="R433" s="48"/>
      <c r="S433" s="48">
        <v>47696.92</v>
      </c>
      <c r="T433" s="48"/>
      <c r="U433" s="48">
        <v>0</v>
      </c>
      <c r="V433" s="48"/>
      <c r="W433" s="48">
        <v>0</v>
      </c>
      <c r="X433" s="48"/>
      <c r="Y433" s="48">
        <v>0</v>
      </c>
      <c r="Z433" s="48"/>
      <c r="AA433" s="48">
        <v>105507.45</v>
      </c>
      <c r="AB433" s="48"/>
      <c r="AC433" s="48">
        <v>0</v>
      </c>
      <c r="AD433" s="48"/>
      <c r="AE433" s="48">
        <v>0</v>
      </c>
      <c r="AF433" s="48"/>
      <c r="AG433" s="48">
        <v>0</v>
      </c>
      <c r="AH433" s="19">
        <f t="shared" si="22"/>
        <v>549820.61</v>
      </c>
      <c r="AI433" s="48">
        <f t="shared" si="23"/>
        <v>549820.61</v>
      </c>
      <c r="AJ433" s="5"/>
    </row>
    <row r="434" spans="1:36" ht="12" customHeight="1" x14ac:dyDescent="0.2">
      <c r="A434" s="1" t="s">
        <v>724</v>
      </c>
      <c r="C434" s="1" t="s">
        <v>283</v>
      </c>
      <c r="E434" s="48">
        <v>52903.91</v>
      </c>
      <c r="F434" s="48"/>
      <c r="G434" s="48">
        <v>0</v>
      </c>
      <c r="H434" s="48"/>
      <c r="I434" s="48">
        <v>23251.31</v>
      </c>
      <c r="J434" s="48"/>
      <c r="K434" s="48">
        <v>0</v>
      </c>
      <c r="L434" s="48"/>
      <c r="M434" s="48">
        <v>0</v>
      </c>
      <c r="N434" s="48"/>
      <c r="O434" s="48">
        <v>61491.38</v>
      </c>
      <c r="P434" s="48"/>
      <c r="Q434" s="48">
        <v>413.49</v>
      </c>
      <c r="R434" s="48"/>
      <c r="S434" s="48">
        <v>0</v>
      </c>
      <c r="T434" s="48"/>
      <c r="U434" s="48">
        <v>0</v>
      </c>
      <c r="V434" s="48"/>
      <c r="W434" s="48">
        <v>0</v>
      </c>
      <c r="X434" s="48"/>
      <c r="Y434" s="48">
        <v>0</v>
      </c>
      <c r="Z434" s="48"/>
      <c r="AA434" s="48">
        <v>123566.81</v>
      </c>
      <c r="AB434" s="48"/>
      <c r="AC434" s="48">
        <v>10000</v>
      </c>
      <c r="AD434" s="48"/>
      <c r="AE434" s="48">
        <v>94037.91</v>
      </c>
      <c r="AF434" s="48"/>
      <c r="AG434" s="48">
        <v>0</v>
      </c>
      <c r="AH434" s="19">
        <f t="shared" si="22"/>
        <v>365664.81000000006</v>
      </c>
      <c r="AI434" s="48">
        <f t="shared" si="23"/>
        <v>365664.81000000006</v>
      </c>
      <c r="AJ434" s="5"/>
    </row>
    <row r="435" spans="1:36" x14ac:dyDescent="0.2">
      <c r="A435" s="1" t="s">
        <v>310</v>
      </c>
      <c r="C435" s="1" t="s">
        <v>306</v>
      </c>
      <c r="E435" s="48">
        <v>4553</v>
      </c>
      <c r="F435" s="48"/>
      <c r="G435" s="48">
        <v>0</v>
      </c>
      <c r="H435" s="48"/>
      <c r="I435" s="48">
        <v>15148</v>
      </c>
      <c r="J435" s="48"/>
      <c r="K435" s="48">
        <v>0</v>
      </c>
      <c r="L435" s="48"/>
      <c r="M435" s="48">
        <v>0</v>
      </c>
      <c r="N435" s="48"/>
      <c r="O435" s="48">
        <v>0</v>
      </c>
      <c r="P435" s="48"/>
      <c r="Q435" s="48">
        <v>0</v>
      </c>
      <c r="R435" s="48"/>
      <c r="S435" s="48">
        <v>1690</v>
      </c>
      <c r="T435" s="48"/>
      <c r="U435" s="48">
        <v>0</v>
      </c>
      <c r="V435" s="48"/>
      <c r="W435" s="48">
        <v>0</v>
      </c>
      <c r="X435" s="48"/>
      <c r="Y435" s="48">
        <v>0</v>
      </c>
      <c r="Z435" s="48"/>
      <c r="AA435" s="48">
        <v>0</v>
      </c>
      <c r="AB435" s="48"/>
      <c r="AC435" s="48">
        <v>0</v>
      </c>
      <c r="AD435" s="48"/>
      <c r="AE435" s="48">
        <v>0</v>
      </c>
      <c r="AF435" s="48"/>
      <c r="AG435" s="48">
        <v>0</v>
      </c>
      <c r="AH435" s="19">
        <f t="shared" si="22"/>
        <v>21391</v>
      </c>
      <c r="AI435" s="48">
        <f t="shared" si="23"/>
        <v>21391</v>
      </c>
    </row>
    <row r="436" spans="1:36" x14ac:dyDescent="0.2">
      <c r="A436" s="1" t="s">
        <v>301</v>
      </c>
      <c r="C436" s="1" t="s">
        <v>293</v>
      </c>
      <c r="E436" s="48">
        <v>118052</v>
      </c>
      <c r="F436" s="48"/>
      <c r="G436" s="48">
        <v>626414</v>
      </c>
      <c r="H436" s="48"/>
      <c r="I436" s="48">
        <v>26593</v>
      </c>
      <c r="J436" s="48"/>
      <c r="K436" s="48">
        <v>0</v>
      </c>
      <c r="L436" s="48"/>
      <c r="M436" s="48">
        <v>144831</v>
      </c>
      <c r="N436" s="48"/>
      <c r="O436" s="48">
        <v>702785</v>
      </c>
      <c r="P436" s="48"/>
      <c r="Q436" s="48">
        <v>82</v>
      </c>
      <c r="R436" s="48"/>
      <c r="S436" s="48">
        <v>169459</v>
      </c>
      <c r="T436" s="48"/>
      <c r="U436" s="48">
        <v>0</v>
      </c>
      <c r="V436" s="48"/>
      <c r="W436" s="48">
        <v>0</v>
      </c>
      <c r="X436" s="48"/>
      <c r="Y436" s="48">
        <v>468892</v>
      </c>
      <c r="Z436" s="48"/>
      <c r="AA436" s="48">
        <v>0</v>
      </c>
      <c r="AB436" s="48"/>
      <c r="AC436" s="48">
        <v>0</v>
      </c>
      <c r="AD436" s="48"/>
      <c r="AE436" s="48">
        <v>0</v>
      </c>
      <c r="AF436" s="48"/>
      <c r="AG436" s="48">
        <v>0</v>
      </c>
      <c r="AH436" s="19">
        <f t="shared" si="22"/>
        <v>2257108</v>
      </c>
      <c r="AI436" s="48">
        <f t="shared" si="23"/>
        <v>2257108</v>
      </c>
    </row>
    <row r="437" spans="1:36" x14ac:dyDescent="0.2">
      <c r="A437" s="1" t="s">
        <v>525</v>
      </c>
      <c r="C437" s="1" t="s">
        <v>521</v>
      </c>
      <c r="E437" s="48">
        <v>165949</v>
      </c>
      <c r="F437" s="48"/>
      <c r="G437" s="48">
        <v>753483</v>
      </c>
      <c r="H437" s="48"/>
      <c r="I437" s="48">
        <v>312958</v>
      </c>
      <c r="J437" s="48"/>
      <c r="K437" s="48">
        <v>3404</v>
      </c>
      <c r="L437" s="48"/>
      <c r="M437" s="48">
        <v>2230</v>
      </c>
      <c r="N437" s="48"/>
      <c r="O437" s="48">
        <v>30014</v>
      </c>
      <c r="P437" s="48"/>
      <c r="Q437" s="48">
        <v>400</v>
      </c>
      <c r="R437" s="48"/>
      <c r="S437" s="48">
        <v>36885</v>
      </c>
      <c r="T437" s="48"/>
      <c r="U437" s="48">
        <v>0</v>
      </c>
      <c r="V437" s="48"/>
      <c r="W437" s="48">
        <v>0</v>
      </c>
      <c r="X437" s="48"/>
      <c r="Y437" s="48">
        <v>0</v>
      </c>
      <c r="Z437" s="48"/>
      <c r="AA437" s="48">
        <v>0</v>
      </c>
      <c r="AB437" s="48"/>
      <c r="AC437" s="48">
        <v>0</v>
      </c>
      <c r="AD437" s="48"/>
      <c r="AE437" s="48">
        <v>0</v>
      </c>
      <c r="AF437" s="48"/>
      <c r="AG437" s="48">
        <v>0</v>
      </c>
      <c r="AH437" s="19">
        <f t="shared" si="22"/>
        <v>1305323</v>
      </c>
      <c r="AI437" s="48">
        <f t="shared" si="23"/>
        <v>1305323</v>
      </c>
    </row>
    <row r="438" spans="1:36" x14ac:dyDescent="0.2">
      <c r="A438" s="1" t="s">
        <v>817</v>
      </c>
      <c r="C438" s="1" t="s">
        <v>695</v>
      </c>
      <c r="E438" s="48">
        <v>112696</v>
      </c>
      <c r="F438" s="48"/>
      <c r="G438" s="48">
        <v>0</v>
      </c>
      <c r="H438" s="48"/>
      <c r="I438" s="48">
        <v>185314</v>
      </c>
      <c r="J438" s="48"/>
      <c r="K438" s="48">
        <v>0</v>
      </c>
      <c r="L438" s="48"/>
      <c r="M438" s="48">
        <v>11697</v>
      </c>
      <c r="N438" s="48"/>
      <c r="O438" s="48">
        <v>704495</v>
      </c>
      <c r="P438" s="48"/>
      <c r="Q438" s="48">
        <v>118616</v>
      </c>
      <c r="R438" s="48"/>
      <c r="S438" s="48">
        <v>49265</v>
      </c>
      <c r="T438" s="48"/>
      <c r="U438" s="48">
        <v>0</v>
      </c>
      <c r="V438" s="48"/>
      <c r="W438" s="48">
        <v>0</v>
      </c>
      <c r="X438" s="48"/>
      <c r="Y438" s="48">
        <v>0</v>
      </c>
      <c r="Z438" s="48"/>
      <c r="AA438" s="48">
        <v>572299</v>
      </c>
      <c r="AB438" s="48"/>
      <c r="AC438" s="48">
        <v>5300</v>
      </c>
      <c r="AD438" s="48"/>
      <c r="AE438" s="48">
        <v>600334</v>
      </c>
      <c r="AF438" s="48"/>
      <c r="AG438" s="48">
        <v>0</v>
      </c>
      <c r="AH438" s="19">
        <f t="shared" si="22"/>
        <v>2360016</v>
      </c>
      <c r="AI438" s="48">
        <f t="shared" si="23"/>
        <v>2360016</v>
      </c>
    </row>
    <row r="439" spans="1:36" x14ac:dyDescent="0.2">
      <c r="A439" s="1" t="s">
        <v>91</v>
      </c>
      <c r="C439" s="1" t="s">
        <v>351</v>
      </c>
      <c r="E439" s="48">
        <v>190144.09</v>
      </c>
      <c r="F439" s="48"/>
      <c r="G439" s="48">
        <v>1524148.98</v>
      </c>
      <c r="H439" s="48"/>
      <c r="I439" s="48">
        <v>55816.17</v>
      </c>
      <c r="J439" s="48"/>
      <c r="K439" s="48">
        <v>0</v>
      </c>
      <c r="L439" s="48"/>
      <c r="M439" s="48">
        <v>0</v>
      </c>
      <c r="N439" s="48"/>
      <c r="O439" s="48">
        <v>136184.57</v>
      </c>
      <c r="P439" s="48"/>
      <c r="Q439" s="48">
        <v>784.25</v>
      </c>
      <c r="R439" s="48"/>
      <c r="S439" s="48">
        <v>68472.3</v>
      </c>
      <c r="T439" s="48"/>
      <c r="U439" s="48">
        <v>0</v>
      </c>
      <c r="V439" s="48"/>
      <c r="W439" s="48">
        <v>0</v>
      </c>
      <c r="X439" s="48"/>
      <c r="Y439" s="48">
        <v>59412</v>
      </c>
      <c r="Z439" s="48"/>
      <c r="AA439" s="48">
        <v>0</v>
      </c>
      <c r="AB439" s="48"/>
      <c r="AC439" s="48">
        <v>191203.38</v>
      </c>
      <c r="AD439" s="48"/>
      <c r="AE439" s="48">
        <v>0</v>
      </c>
      <c r="AF439" s="48"/>
      <c r="AG439" s="48">
        <v>0</v>
      </c>
      <c r="AH439" s="19">
        <f t="shared" si="22"/>
        <v>2226165.7400000002</v>
      </c>
      <c r="AI439" s="48">
        <f t="shared" si="23"/>
        <v>2226165.7400000002</v>
      </c>
    </row>
    <row r="440" spans="1:36" x14ac:dyDescent="0.2">
      <c r="A440" s="1" t="s">
        <v>50</v>
      </c>
      <c r="C440" s="1" t="s">
        <v>319</v>
      </c>
      <c r="E440" s="48">
        <v>6729.43</v>
      </c>
      <c r="F440" s="48"/>
      <c r="G440" s="48">
        <v>0</v>
      </c>
      <c r="H440" s="48"/>
      <c r="I440" s="48">
        <v>30917.02</v>
      </c>
      <c r="J440" s="48"/>
      <c r="K440" s="48">
        <v>0</v>
      </c>
      <c r="L440" s="48"/>
      <c r="M440" s="48">
        <v>0</v>
      </c>
      <c r="N440" s="48"/>
      <c r="O440" s="48">
        <v>0</v>
      </c>
      <c r="P440" s="48"/>
      <c r="Q440" s="48">
        <v>225.54</v>
      </c>
      <c r="R440" s="48"/>
      <c r="S440" s="48">
        <v>13678.86</v>
      </c>
      <c r="T440" s="48"/>
      <c r="U440" s="48">
        <v>0</v>
      </c>
      <c r="V440" s="48"/>
      <c r="W440" s="48">
        <v>0</v>
      </c>
      <c r="X440" s="48"/>
      <c r="Y440" s="48">
        <v>0</v>
      </c>
      <c r="Z440" s="48"/>
      <c r="AA440" s="48">
        <v>0</v>
      </c>
      <c r="AB440" s="48"/>
      <c r="AC440" s="48">
        <v>0</v>
      </c>
      <c r="AD440" s="48"/>
      <c r="AE440" s="48">
        <v>7.49</v>
      </c>
      <c r="AF440" s="48"/>
      <c r="AG440" s="48">
        <v>0</v>
      </c>
      <c r="AH440" s="19">
        <f t="shared" si="22"/>
        <v>51558.34</v>
      </c>
      <c r="AI440" s="48">
        <f t="shared" si="23"/>
        <v>51558.34</v>
      </c>
    </row>
    <row r="441" spans="1:36" x14ac:dyDescent="0.2">
      <c r="A441" s="1" t="s">
        <v>562</v>
      </c>
      <c r="C441" s="1" t="s">
        <v>558</v>
      </c>
      <c r="E441" s="48">
        <v>217379</v>
      </c>
      <c r="F441" s="48"/>
      <c r="G441" s="48">
        <v>770941</v>
      </c>
      <c r="H441" s="48"/>
      <c r="I441" s="48">
        <v>173709</v>
      </c>
      <c r="J441" s="48"/>
      <c r="K441" s="48">
        <v>0</v>
      </c>
      <c r="L441" s="48"/>
      <c r="M441" s="48">
        <v>95753</v>
      </c>
      <c r="N441" s="48"/>
      <c r="O441" s="48">
        <v>44454</v>
      </c>
      <c r="P441" s="48"/>
      <c r="Q441" s="48">
        <v>179</v>
      </c>
      <c r="R441" s="48"/>
      <c r="S441" s="48">
        <v>51235</v>
      </c>
      <c r="T441" s="48"/>
      <c r="U441" s="48">
        <v>0</v>
      </c>
      <c r="V441" s="48"/>
      <c r="W441" s="48">
        <v>0</v>
      </c>
      <c r="X441" s="48"/>
      <c r="Y441" s="48">
        <v>0</v>
      </c>
      <c r="Z441" s="48"/>
      <c r="AA441" s="48">
        <v>0</v>
      </c>
      <c r="AB441" s="48"/>
      <c r="AC441" s="48">
        <v>0</v>
      </c>
      <c r="AD441" s="48"/>
      <c r="AE441" s="48">
        <v>0</v>
      </c>
      <c r="AF441" s="48"/>
      <c r="AG441" s="48">
        <v>0</v>
      </c>
      <c r="AH441" s="19">
        <f t="shared" si="22"/>
        <v>1353650</v>
      </c>
      <c r="AI441" s="48">
        <f t="shared" si="23"/>
        <v>1353650</v>
      </c>
    </row>
    <row r="442" spans="1:36" x14ac:dyDescent="0.2">
      <c r="A442" s="1" t="s">
        <v>92</v>
      </c>
      <c r="C442" s="1" t="s">
        <v>351</v>
      </c>
      <c r="E442" s="48">
        <v>313520.89</v>
      </c>
      <c r="F442" s="48"/>
      <c r="G442" s="48">
        <v>0</v>
      </c>
      <c r="H442" s="48"/>
      <c r="I442" s="48">
        <v>41527.01</v>
      </c>
      <c r="J442" s="48"/>
      <c r="K442" s="48">
        <v>0</v>
      </c>
      <c r="L442" s="48"/>
      <c r="M442" s="48">
        <v>2692.19</v>
      </c>
      <c r="N442" s="48"/>
      <c r="O442" s="48">
        <v>24196.73</v>
      </c>
      <c r="P442" s="48"/>
      <c r="Q442" s="48">
        <v>11.68</v>
      </c>
      <c r="R442" s="48"/>
      <c r="S442" s="48">
        <v>3084.06</v>
      </c>
      <c r="T442" s="48"/>
      <c r="U442" s="48">
        <v>0</v>
      </c>
      <c r="V442" s="48"/>
      <c r="W442" s="48">
        <v>0</v>
      </c>
      <c r="X442" s="48"/>
      <c r="Y442" s="48">
        <v>0</v>
      </c>
      <c r="Z442" s="48"/>
      <c r="AA442" s="48">
        <v>0</v>
      </c>
      <c r="AB442" s="48"/>
      <c r="AC442" s="48">
        <v>0</v>
      </c>
      <c r="AD442" s="48"/>
      <c r="AE442" s="48">
        <v>0</v>
      </c>
      <c r="AF442" s="48"/>
      <c r="AG442" s="48">
        <v>0</v>
      </c>
      <c r="AH442" s="19">
        <f t="shared" si="22"/>
        <v>385032.56</v>
      </c>
      <c r="AI442" s="48">
        <f t="shared" si="23"/>
        <v>385032.56</v>
      </c>
    </row>
    <row r="443" spans="1:36" x14ac:dyDescent="0.2">
      <c r="A443" s="1" t="s">
        <v>388</v>
      </c>
      <c r="C443" s="1" t="s">
        <v>386</v>
      </c>
      <c r="E443" s="48">
        <v>22266.02</v>
      </c>
      <c r="F443" s="48"/>
      <c r="G443" s="48">
        <v>0</v>
      </c>
      <c r="H443" s="48"/>
      <c r="I443" s="48">
        <v>22323.33</v>
      </c>
      <c r="J443" s="48"/>
      <c r="K443" s="48">
        <v>0</v>
      </c>
      <c r="L443" s="48"/>
      <c r="M443" s="48">
        <v>25718.26</v>
      </c>
      <c r="N443" s="48"/>
      <c r="O443" s="48">
        <v>3799.6</v>
      </c>
      <c r="P443" s="48"/>
      <c r="Q443" s="48">
        <v>308.67</v>
      </c>
      <c r="R443" s="48"/>
      <c r="S443" s="48">
        <v>20</v>
      </c>
      <c r="T443" s="48"/>
      <c r="U443" s="48">
        <v>0</v>
      </c>
      <c r="V443" s="48"/>
      <c r="W443" s="48">
        <v>0</v>
      </c>
      <c r="X443" s="48"/>
      <c r="Y443" s="48">
        <v>0</v>
      </c>
      <c r="Z443" s="48"/>
      <c r="AA443" s="48">
        <v>0</v>
      </c>
      <c r="AB443" s="48"/>
      <c r="AC443" s="48">
        <v>0</v>
      </c>
      <c r="AD443" s="48"/>
      <c r="AE443" s="48">
        <v>271.8</v>
      </c>
      <c r="AF443" s="48"/>
      <c r="AG443" s="48">
        <v>0</v>
      </c>
      <c r="AH443" s="19">
        <f t="shared" si="22"/>
        <v>74707.680000000008</v>
      </c>
      <c r="AI443" s="48">
        <f t="shared" si="23"/>
        <v>74707.680000000008</v>
      </c>
    </row>
    <row r="444" spans="1:36" x14ac:dyDescent="0.2">
      <c r="A444" s="1" t="s">
        <v>275</v>
      </c>
      <c r="C444" s="1" t="s">
        <v>274</v>
      </c>
      <c r="E444" s="48">
        <v>28076.52</v>
      </c>
      <c r="F444" s="48"/>
      <c r="G444" s="48">
        <v>0</v>
      </c>
      <c r="H444" s="48"/>
      <c r="I444" s="48">
        <v>3082.68</v>
      </c>
      <c r="J444" s="48"/>
      <c r="K444" s="48">
        <v>0</v>
      </c>
      <c r="L444" s="48"/>
      <c r="M444" s="48">
        <v>0</v>
      </c>
      <c r="N444" s="48"/>
      <c r="O444" s="48">
        <v>226048.5</v>
      </c>
      <c r="P444" s="48"/>
      <c r="Q444" s="48">
        <v>57.79</v>
      </c>
      <c r="R444" s="48"/>
      <c r="S444" s="48">
        <v>4264.51</v>
      </c>
      <c r="T444" s="48"/>
      <c r="U444" s="48">
        <v>0</v>
      </c>
      <c r="V444" s="48"/>
      <c r="W444" s="48">
        <v>0</v>
      </c>
      <c r="X444" s="48"/>
      <c r="Y444" s="48">
        <v>0</v>
      </c>
      <c r="Z444" s="48"/>
      <c r="AA444" s="48">
        <v>0</v>
      </c>
      <c r="AB444" s="48"/>
      <c r="AC444" s="48">
        <v>0</v>
      </c>
      <c r="AD444" s="48"/>
      <c r="AE444" s="48">
        <v>0</v>
      </c>
      <c r="AF444" s="48"/>
      <c r="AG444" s="48">
        <v>0</v>
      </c>
      <c r="AH444" s="19">
        <f t="shared" si="22"/>
        <v>261530.00000000003</v>
      </c>
      <c r="AI444" s="48">
        <f t="shared" si="23"/>
        <v>261530.00000000003</v>
      </c>
    </row>
    <row r="445" spans="1:36" x14ac:dyDescent="0.2">
      <c r="A445" s="1" t="s">
        <v>635</v>
      </c>
      <c r="C445" s="1" t="s">
        <v>624</v>
      </c>
      <c r="E445" s="48">
        <v>154334.26999999999</v>
      </c>
      <c r="F445" s="48"/>
      <c r="G445" s="48">
        <v>453849.15</v>
      </c>
      <c r="H445" s="48"/>
      <c r="I445" s="48">
        <v>104436.47</v>
      </c>
      <c r="J445" s="48"/>
      <c r="K445" s="48">
        <v>0</v>
      </c>
      <c r="L445" s="48"/>
      <c r="M445" s="48">
        <v>28283.48</v>
      </c>
      <c r="N445" s="48"/>
      <c r="O445" s="48">
        <v>168458.62</v>
      </c>
      <c r="P445" s="48"/>
      <c r="Q445" s="48">
        <v>107.97</v>
      </c>
      <c r="R445" s="48"/>
      <c r="S445" s="48">
        <v>23984.7</v>
      </c>
      <c r="T445" s="48"/>
      <c r="U445" s="48">
        <v>0</v>
      </c>
      <c r="V445" s="48"/>
      <c r="W445" s="48">
        <v>0</v>
      </c>
      <c r="X445" s="48"/>
      <c r="Y445" s="48">
        <v>499</v>
      </c>
      <c r="Z445" s="48"/>
      <c r="AA445" s="48">
        <v>0</v>
      </c>
      <c r="AB445" s="48"/>
      <c r="AC445" s="48">
        <v>50220</v>
      </c>
      <c r="AD445" s="48"/>
      <c r="AE445" s="48">
        <v>32119.62</v>
      </c>
      <c r="AF445" s="48"/>
      <c r="AG445" s="48">
        <v>0</v>
      </c>
      <c r="AH445" s="19">
        <f t="shared" si="22"/>
        <v>1016293.2799999999</v>
      </c>
      <c r="AI445" s="48">
        <f t="shared" si="23"/>
        <v>1016293.2799999999</v>
      </c>
    </row>
    <row r="446" spans="1:36" x14ac:dyDescent="0.2">
      <c r="A446" s="1" t="s">
        <v>271</v>
      </c>
      <c r="C446" s="1" t="s">
        <v>269</v>
      </c>
      <c r="E446" s="48">
        <v>30633.86</v>
      </c>
      <c r="F446" s="48"/>
      <c r="G446" s="48">
        <v>203368.33</v>
      </c>
      <c r="H446" s="48"/>
      <c r="I446" s="48">
        <v>24633.51</v>
      </c>
      <c r="J446" s="48"/>
      <c r="K446" s="48">
        <v>0</v>
      </c>
      <c r="L446" s="48"/>
      <c r="M446" s="48">
        <v>0</v>
      </c>
      <c r="N446" s="48"/>
      <c r="O446" s="48">
        <v>20669.669999999998</v>
      </c>
      <c r="P446" s="48"/>
      <c r="Q446" s="48">
        <v>1601.87</v>
      </c>
      <c r="R446" s="48"/>
      <c r="S446" s="48">
        <v>0</v>
      </c>
      <c r="T446" s="48"/>
      <c r="U446" s="48">
        <v>0</v>
      </c>
      <c r="V446" s="48"/>
      <c r="W446" s="48">
        <v>0</v>
      </c>
      <c r="X446" s="48"/>
      <c r="Y446" s="48">
        <v>0</v>
      </c>
      <c r="Z446" s="48"/>
      <c r="AA446" s="48">
        <v>0</v>
      </c>
      <c r="AB446" s="48"/>
      <c r="AC446" s="48">
        <v>0</v>
      </c>
      <c r="AD446" s="48"/>
      <c r="AE446" s="48">
        <v>69131.78</v>
      </c>
      <c r="AF446" s="48"/>
      <c r="AG446" s="48">
        <v>0</v>
      </c>
      <c r="AH446" s="19">
        <f t="shared" si="22"/>
        <v>350039.02</v>
      </c>
      <c r="AI446" s="48">
        <f t="shared" si="23"/>
        <v>350039.02</v>
      </c>
    </row>
    <row r="447" spans="1:36" x14ac:dyDescent="0.2">
      <c r="A447" s="1" t="s">
        <v>116</v>
      </c>
      <c r="C447" s="1" t="s">
        <v>399</v>
      </c>
      <c r="E447" s="48">
        <v>517383.99</v>
      </c>
      <c r="F447" s="48"/>
      <c r="G447" s="48">
        <v>1459783.41</v>
      </c>
      <c r="H447" s="48"/>
      <c r="I447" s="48">
        <v>398137.7</v>
      </c>
      <c r="J447" s="48"/>
      <c r="K447" s="48">
        <v>0</v>
      </c>
      <c r="L447" s="48"/>
      <c r="M447" s="48">
        <v>2900</v>
      </c>
      <c r="N447" s="48"/>
      <c r="O447" s="48">
        <v>22107.13</v>
      </c>
      <c r="P447" s="48"/>
      <c r="Q447" s="48">
        <v>69333.83</v>
      </c>
      <c r="R447" s="48"/>
      <c r="S447" s="48">
        <v>67393.100000000006</v>
      </c>
      <c r="T447" s="48"/>
      <c r="U447" s="48">
        <v>0</v>
      </c>
      <c r="V447" s="48"/>
      <c r="W447" s="48">
        <v>0</v>
      </c>
      <c r="X447" s="48"/>
      <c r="Y447" s="48">
        <v>0</v>
      </c>
      <c r="Z447" s="48"/>
      <c r="AA447" s="48">
        <v>0</v>
      </c>
      <c r="AB447" s="48"/>
      <c r="AC447" s="48">
        <v>0</v>
      </c>
      <c r="AD447" s="48"/>
      <c r="AE447" s="48">
        <v>0</v>
      </c>
      <c r="AF447" s="48"/>
      <c r="AG447" s="48">
        <v>0</v>
      </c>
      <c r="AH447" s="19">
        <f t="shared" si="22"/>
        <v>2537039.16</v>
      </c>
      <c r="AI447" s="48">
        <f t="shared" si="23"/>
        <v>2537039.16</v>
      </c>
    </row>
    <row r="448" spans="1:36" x14ac:dyDescent="0.2">
      <c r="A448" s="6" t="s">
        <v>714</v>
      </c>
      <c r="B448" s="6"/>
      <c r="C448" s="6" t="s">
        <v>686</v>
      </c>
      <c r="D448" s="6"/>
      <c r="E448" s="48">
        <v>0</v>
      </c>
      <c r="F448" s="48"/>
      <c r="G448" s="48">
        <v>1718576</v>
      </c>
      <c r="H448" s="48"/>
      <c r="I448" s="48">
        <v>538801</v>
      </c>
      <c r="J448" s="48"/>
      <c r="K448" s="48">
        <v>0</v>
      </c>
      <c r="L448" s="48"/>
      <c r="M448" s="48">
        <v>63747</v>
      </c>
      <c r="N448" s="48"/>
      <c r="O448" s="48">
        <v>312582</v>
      </c>
      <c r="P448" s="48"/>
      <c r="Q448" s="48">
        <v>1</v>
      </c>
      <c r="R448" s="48"/>
      <c r="S448" s="48">
        <v>4682</v>
      </c>
      <c r="T448" s="48"/>
      <c r="U448" s="48">
        <v>0</v>
      </c>
      <c r="V448" s="48"/>
      <c r="W448" s="48">
        <v>0</v>
      </c>
      <c r="X448" s="48"/>
      <c r="Y448" s="48">
        <v>0</v>
      </c>
      <c r="Z448" s="48"/>
      <c r="AA448" s="48">
        <v>0</v>
      </c>
      <c r="AB448" s="48"/>
      <c r="AC448" s="48">
        <v>0</v>
      </c>
      <c r="AD448" s="48"/>
      <c r="AE448" s="48">
        <v>0</v>
      </c>
      <c r="AF448" s="48"/>
      <c r="AG448" s="48">
        <v>0</v>
      </c>
      <c r="AH448" s="19">
        <f t="shared" si="22"/>
        <v>2638389</v>
      </c>
      <c r="AI448" s="48">
        <f t="shared" si="23"/>
        <v>2638389</v>
      </c>
    </row>
    <row r="449" spans="1:35" x14ac:dyDescent="0.2">
      <c r="A449" s="1" t="s">
        <v>291</v>
      </c>
      <c r="C449" s="1" t="s">
        <v>289</v>
      </c>
      <c r="E449" s="48">
        <v>6248</v>
      </c>
      <c r="F449" s="48"/>
      <c r="G449" s="48">
        <v>0</v>
      </c>
      <c r="H449" s="48"/>
      <c r="I449" s="48">
        <v>1636</v>
      </c>
      <c r="J449" s="48"/>
      <c r="K449" s="48">
        <v>5698</v>
      </c>
      <c r="L449" s="48"/>
      <c r="M449" s="48">
        <v>0</v>
      </c>
      <c r="N449" s="48"/>
      <c r="O449" s="48">
        <v>0</v>
      </c>
      <c r="P449" s="48"/>
      <c r="Q449" s="48">
        <v>17</v>
      </c>
      <c r="R449" s="48"/>
      <c r="S449" s="48">
        <v>216</v>
      </c>
      <c r="T449" s="48"/>
      <c r="U449" s="48">
        <v>0</v>
      </c>
      <c r="V449" s="48"/>
      <c r="W449" s="48">
        <v>0</v>
      </c>
      <c r="X449" s="48"/>
      <c r="Y449" s="48">
        <v>0</v>
      </c>
      <c r="Z449" s="48"/>
      <c r="AA449" s="48">
        <v>0</v>
      </c>
      <c r="AB449" s="48"/>
      <c r="AC449" s="48">
        <v>0</v>
      </c>
      <c r="AD449" s="48"/>
      <c r="AE449" s="48">
        <v>0</v>
      </c>
      <c r="AF449" s="48"/>
      <c r="AG449" s="48">
        <v>0</v>
      </c>
      <c r="AH449" s="19">
        <f t="shared" si="22"/>
        <v>13815</v>
      </c>
      <c r="AI449" s="48">
        <f t="shared" si="23"/>
        <v>13815</v>
      </c>
    </row>
    <row r="450" spans="1:35" x14ac:dyDescent="0.2">
      <c r="A450" s="1" t="s">
        <v>311</v>
      </c>
      <c r="C450" s="1" t="s">
        <v>306</v>
      </c>
      <c r="E450" s="48">
        <v>29</v>
      </c>
      <c r="F450" s="48"/>
      <c r="G450" s="48">
        <v>21080</v>
      </c>
      <c r="H450" s="48"/>
      <c r="I450" s="48">
        <v>17925</v>
      </c>
      <c r="J450" s="48"/>
      <c r="K450" s="48">
        <v>0</v>
      </c>
      <c r="L450" s="48"/>
      <c r="M450" s="48">
        <v>12550</v>
      </c>
      <c r="N450" s="48"/>
      <c r="O450" s="48">
        <v>1412</v>
      </c>
      <c r="P450" s="48"/>
      <c r="Q450" s="48">
        <v>356</v>
      </c>
      <c r="R450" s="48"/>
      <c r="S450" s="48">
        <v>12296</v>
      </c>
      <c r="T450" s="48"/>
      <c r="U450" s="48">
        <v>0</v>
      </c>
      <c r="V450" s="48"/>
      <c r="W450" s="48">
        <v>0</v>
      </c>
      <c r="X450" s="48"/>
      <c r="Y450" s="48">
        <v>0</v>
      </c>
      <c r="Z450" s="48"/>
      <c r="AA450" s="48">
        <v>0</v>
      </c>
      <c r="AB450" s="48"/>
      <c r="AC450" s="48">
        <v>0</v>
      </c>
      <c r="AD450" s="48"/>
      <c r="AE450" s="48">
        <v>0</v>
      </c>
      <c r="AF450" s="48"/>
      <c r="AG450" s="48">
        <v>0</v>
      </c>
      <c r="AH450" s="19">
        <f t="shared" si="22"/>
        <v>65648</v>
      </c>
      <c r="AI450" s="48">
        <f t="shared" si="23"/>
        <v>65648</v>
      </c>
    </row>
    <row r="451" spans="1:35" x14ac:dyDescent="0.2">
      <c r="A451" s="1" t="s">
        <v>162</v>
      </c>
      <c r="C451" s="1" t="s">
        <v>450</v>
      </c>
      <c r="E451" s="48">
        <v>10542.47</v>
      </c>
      <c r="F451" s="48"/>
      <c r="G451" s="48">
        <v>0</v>
      </c>
      <c r="H451" s="48"/>
      <c r="I451" s="48">
        <v>7763.59</v>
      </c>
      <c r="J451" s="48"/>
      <c r="K451" s="48">
        <v>0</v>
      </c>
      <c r="L451" s="48"/>
      <c r="M451" s="48">
        <v>0</v>
      </c>
      <c r="N451" s="48"/>
      <c r="O451" s="48">
        <v>0</v>
      </c>
      <c r="P451" s="48"/>
      <c r="Q451" s="48">
        <v>45.85</v>
      </c>
      <c r="R451" s="48"/>
      <c r="S451" s="48">
        <v>821.33</v>
      </c>
      <c r="T451" s="48"/>
      <c r="U451" s="48">
        <v>0</v>
      </c>
      <c r="V451" s="48"/>
      <c r="W451" s="48">
        <v>0</v>
      </c>
      <c r="X451" s="48"/>
      <c r="Y451" s="48">
        <v>0</v>
      </c>
      <c r="Z451" s="48"/>
      <c r="AA451" s="48">
        <v>0</v>
      </c>
      <c r="AB451" s="48"/>
      <c r="AC451" s="48">
        <v>0</v>
      </c>
      <c r="AD451" s="48"/>
      <c r="AE451" s="48">
        <v>0</v>
      </c>
      <c r="AF451" s="48"/>
      <c r="AG451" s="48">
        <v>0</v>
      </c>
      <c r="AH451" s="19">
        <f t="shared" si="22"/>
        <v>19173.239999999998</v>
      </c>
      <c r="AI451" s="48">
        <f t="shared" si="23"/>
        <v>19173.239999999998</v>
      </c>
    </row>
    <row r="452" spans="1:35" x14ac:dyDescent="0.2">
      <c r="A452" s="6" t="s">
        <v>458</v>
      </c>
      <c r="B452" s="6"/>
      <c r="C452" s="6" t="s">
        <v>192</v>
      </c>
      <c r="D452" s="6"/>
      <c r="E452" s="48">
        <v>125534</v>
      </c>
      <c r="F452" s="48"/>
      <c r="G452" s="48">
        <v>640876</v>
      </c>
      <c r="H452" s="48"/>
      <c r="I452" s="48">
        <v>93925</v>
      </c>
      <c r="J452" s="48"/>
      <c r="K452" s="48">
        <v>0</v>
      </c>
      <c r="L452" s="48"/>
      <c r="M452" s="48">
        <v>72273</v>
      </c>
      <c r="N452" s="48"/>
      <c r="O452" s="48">
        <v>7108</v>
      </c>
      <c r="P452" s="48"/>
      <c r="Q452" s="48">
        <v>31180</v>
      </c>
      <c r="R452" s="48"/>
      <c r="S452" s="48">
        <f>19970+29448+115398</f>
        <v>164816</v>
      </c>
      <c r="T452" s="48"/>
      <c r="U452" s="48">
        <v>0</v>
      </c>
      <c r="V452" s="48"/>
      <c r="W452" s="48">
        <v>0</v>
      </c>
      <c r="X452" s="48"/>
      <c r="Y452" s="48">
        <v>0</v>
      </c>
      <c r="Z452" s="48"/>
      <c r="AA452" s="48">
        <v>465</v>
      </c>
      <c r="AB452" s="48"/>
      <c r="AC452" s="48">
        <v>0</v>
      </c>
      <c r="AD452" s="48"/>
      <c r="AE452" s="48">
        <v>0</v>
      </c>
      <c r="AF452" s="48"/>
      <c r="AG452" s="48">
        <v>0</v>
      </c>
      <c r="AH452" s="19">
        <f t="shared" si="22"/>
        <v>1136177</v>
      </c>
      <c r="AI452" s="48">
        <f t="shared" si="23"/>
        <v>1136177</v>
      </c>
    </row>
    <row r="453" spans="1:35" x14ac:dyDescent="0.2">
      <c r="A453" s="1" t="s">
        <v>109</v>
      </c>
      <c r="C453" s="1" t="s">
        <v>850</v>
      </c>
      <c r="E453" s="48">
        <v>126564.35</v>
      </c>
      <c r="F453" s="48"/>
      <c r="G453" s="48">
        <v>0</v>
      </c>
      <c r="H453" s="48"/>
      <c r="I453" s="48">
        <v>55109.49</v>
      </c>
      <c r="J453" s="48"/>
      <c r="K453" s="48">
        <v>0</v>
      </c>
      <c r="L453" s="48"/>
      <c r="M453" s="48">
        <v>769</v>
      </c>
      <c r="N453" s="48"/>
      <c r="O453" s="48">
        <v>34039.5</v>
      </c>
      <c r="P453" s="48"/>
      <c r="Q453" s="48">
        <v>4024.36</v>
      </c>
      <c r="R453" s="48"/>
      <c r="S453" s="48">
        <v>18735.650000000001</v>
      </c>
      <c r="T453" s="48"/>
      <c r="U453" s="48">
        <v>0</v>
      </c>
      <c r="V453" s="48"/>
      <c r="W453" s="48">
        <v>0</v>
      </c>
      <c r="X453" s="48"/>
      <c r="Y453" s="48">
        <v>0</v>
      </c>
      <c r="Z453" s="48"/>
      <c r="AA453" s="48">
        <v>0</v>
      </c>
      <c r="AB453" s="48"/>
      <c r="AC453" s="48">
        <v>0</v>
      </c>
      <c r="AD453" s="48"/>
      <c r="AE453" s="48">
        <v>354.7</v>
      </c>
      <c r="AF453" s="48"/>
      <c r="AG453" s="48">
        <v>0</v>
      </c>
      <c r="AH453" s="19">
        <f t="shared" si="22"/>
        <v>239597.05</v>
      </c>
      <c r="AI453" s="48">
        <f t="shared" si="23"/>
        <v>239597.05</v>
      </c>
    </row>
    <row r="454" spans="1:35" x14ac:dyDescent="0.2">
      <c r="A454" s="1" t="s">
        <v>302</v>
      </c>
      <c r="C454" s="1" t="s">
        <v>293</v>
      </c>
      <c r="E454" s="48">
        <v>257893</v>
      </c>
      <c r="F454" s="48"/>
      <c r="G454" s="48">
        <v>5743664</v>
      </c>
      <c r="H454" s="48"/>
      <c r="I454" s="48">
        <v>169094</v>
      </c>
      <c r="J454" s="48"/>
      <c r="K454" s="48">
        <v>0</v>
      </c>
      <c r="L454" s="48"/>
      <c r="M454" s="48">
        <v>718815</v>
      </c>
      <c r="N454" s="48"/>
      <c r="O454" s="48">
        <v>502030</v>
      </c>
      <c r="P454" s="48"/>
      <c r="Q454" s="48">
        <v>300</v>
      </c>
      <c r="R454" s="48"/>
      <c r="S454" s="48">
        <v>421297</v>
      </c>
      <c r="T454" s="48"/>
      <c r="U454" s="48">
        <v>0</v>
      </c>
      <c r="V454" s="48"/>
      <c r="W454" s="48">
        <v>0</v>
      </c>
      <c r="X454" s="48"/>
      <c r="Y454" s="48">
        <v>0</v>
      </c>
      <c r="Z454" s="48"/>
      <c r="AA454" s="48">
        <v>0</v>
      </c>
      <c r="AB454" s="48"/>
      <c r="AC454" s="48">
        <v>0</v>
      </c>
      <c r="AD454" s="48"/>
      <c r="AE454" s="48">
        <v>0</v>
      </c>
      <c r="AF454" s="48"/>
      <c r="AG454" s="48">
        <v>0</v>
      </c>
      <c r="AH454" s="19">
        <f t="shared" si="22"/>
        <v>7813093</v>
      </c>
      <c r="AI454" s="48">
        <f t="shared" si="23"/>
        <v>7813093</v>
      </c>
    </row>
    <row r="455" spans="1:35" x14ac:dyDescent="0.2">
      <c r="A455" s="1" t="s">
        <v>302</v>
      </c>
      <c r="C455" s="1" t="s">
        <v>460</v>
      </c>
      <c r="E455" s="48">
        <v>7442</v>
      </c>
      <c r="F455" s="48"/>
      <c r="G455" s="48">
        <v>64431</v>
      </c>
      <c r="H455" s="48"/>
      <c r="I455" s="48">
        <v>31178</v>
      </c>
      <c r="J455" s="48"/>
      <c r="K455" s="48">
        <v>0</v>
      </c>
      <c r="L455" s="48"/>
      <c r="M455" s="48">
        <v>0</v>
      </c>
      <c r="N455" s="48"/>
      <c r="O455" s="48">
        <v>4789</v>
      </c>
      <c r="P455" s="48"/>
      <c r="Q455" s="48">
        <v>128</v>
      </c>
      <c r="R455" s="48"/>
      <c r="S455" s="48">
        <v>11880</v>
      </c>
      <c r="T455" s="48"/>
      <c r="U455" s="48">
        <v>0</v>
      </c>
      <c r="V455" s="48"/>
      <c r="W455" s="48">
        <v>0</v>
      </c>
      <c r="X455" s="48"/>
      <c r="Y455" s="48">
        <v>0</v>
      </c>
      <c r="Z455" s="48"/>
      <c r="AA455" s="48">
        <v>1095</v>
      </c>
      <c r="AB455" s="48"/>
      <c r="AC455" s="48">
        <v>0</v>
      </c>
      <c r="AD455" s="48"/>
      <c r="AE455" s="48">
        <v>17986</v>
      </c>
      <c r="AF455" s="48"/>
      <c r="AG455" s="48">
        <v>0</v>
      </c>
      <c r="AH455" s="19">
        <f t="shared" si="22"/>
        <v>138929</v>
      </c>
      <c r="AI455" s="48">
        <f t="shared" si="23"/>
        <v>138929</v>
      </c>
    </row>
    <row r="456" spans="1:35" x14ac:dyDescent="0.2">
      <c r="A456" s="1" t="s">
        <v>70</v>
      </c>
      <c r="C456" s="1" t="s">
        <v>329</v>
      </c>
      <c r="E456" s="48">
        <v>394372.82</v>
      </c>
      <c r="F456" s="48"/>
      <c r="G456" s="48">
        <v>4479613.0999999996</v>
      </c>
      <c r="H456" s="48"/>
      <c r="I456" s="48">
        <v>2008319.6</v>
      </c>
      <c r="J456" s="48"/>
      <c r="K456" s="48">
        <v>7692.46</v>
      </c>
      <c r="L456" s="48"/>
      <c r="M456" s="48">
        <v>358021.62</v>
      </c>
      <c r="N456" s="48"/>
      <c r="O456" s="48">
        <v>410916.07</v>
      </c>
      <c r="P456" s="48"/>
      <c r="Q456" s="48">
        <v>33164.32</v>
      </c>
      <c r="R456" s="48"/>
      <c r="S456" s="48">
        <v>80822.95</v>
      </c>
      <c r="T456" s="48"/>
      <c r="U456" s="48">
        <v>0</v>
      </c>
      <c r="V456" s="48"/>
      <c r="W456" s="48">
        <v>0</v>
      </c>
      <c r="X456" s="48"/>
      <c r="Y456" s="48">
        <v>10892</v>
      </c>
      <c r="Z456" s="48"/>
      <c r="AA456" s="48">
        <v>39381</v>
      </c>
      <c r="AB456" s="48"/>
      <c r="AC456" s="48">
        <v>0</v>
      </c>
      <c r="AD456" s="48"/>
      <c r="AE456" s="48">
        <v>351077.95</v>
      </c>
      <c r="AF456" s="48"/>
      <c r="AG456" s="48">
        <v>0</v>
      </c>
      <c r="AH456" s="19">
        <f t="shared" si="22"/>
        <v>8174273.8900000006</v>
      </c>
      <c r="AI456" s="48">
        <f t="shared" si="23"/>
        <v>8174273.8900000006</v>
      </c>
    </row>
    <row r="457" spans="1:35" x14ac:dyDescent="0.2">
      <c r="A457" s="1" t="s">
        <v>66</v>
      </c>
      <c r="C457" s="1" t="s">
        <v>334</v>
      </c>
      <c r="E457" s="48">
        <v>32135.73</v>
      </c>
      <c r="F457" s="48"/>
      <c r="G457" s="48">
        <v>35520.21</v>
      </c>
      <c r="H457" s="48"/>
      <c r="I457" s="48">
        <v>3740.32</v>
      </c>
      <c r="J457" s="48"/>
      <c r="K457" s="48">
        <v>0</v>
      </c>
      <c r="L457" s="48"/>
      <c r="M457" s="48">
        <v>0</v>
      </c>
      <c r="N457" s="48"/>
      <c r="O457" s="48">
        <v>197.5</v>
      </c>
      <c r="P457" s="48"/>
      <c r="Q457" s="48">
        <v>17.13</v>
      </c>
      <c r="R457" s="48"/>
      <c r="S457" s="48">
        <v>660.38</v>
      </c>
      <c r="T457" s="48"/>
      <c r="U457" s="48">
        <v>0</v>
      </c>
      <c r="V457" s="48"/>
      <c r="W457" s="48">
        <v>0</v>
      </c>
      <c r="X457" s="48"/>
      <c r="Y457" s="48">
        <v>0</v>
      </c>
      <c r="Z457" s="48"/>
      <c r="AA457" s="48">
        <v>558.57000000000005</v>
      </c>
      <c r="AB457" s="48"/>
      <c r="AC457" s="48">
        <v>0</v>
      </c>
      <c r="AD457" s="48"/>
      <c r="AE457" s="48">
        <v>0</v>
      </c>
      <c r="AF457" s="48"/>
      <c r="AG457" s="48">
        <v>0</v>
      </c>
      <c r="AH457" s="19">
        <f t="shared" si="22"/>
        <v>72829.840000000026</v>
      </c>
      <c r="AI457" s="48">
        <f t="shared" si="23"/>
        <v>72829.840000000026</v>
      </c>
    </row>
    <row r="458" spans="1:35" x14ac:dyDescent="0.2">
      <c r="A458" s="1" t="s">
        <v>533</v>
      </c>
      <c r="C458" s="1" t="s">
        <v>532</v>
      </c>
      <c r="E458" s="48">
        <v>61207</v>
      </c>
      <c r="F458" s="48"/>
      <c r="G458" s="48">
        <v>96483</v>
      </c>
      <c r="H458" s="48"/>
      <c r="I458" s="48">
        <v>27541</v>
      </c>
      <c r="J458" s="48"/>
      <c r="K458" s="48">
        <v>0</v>
      </c>
      <c r="L458" s="48"/>
      <c r="M458" s="48">
        <v>0</v>
      </c>
      <c r="N458" s="48"/>
      <c r="O458" s="48">
        <v>5931</v>
      </c>
      <c r="P458" s="48"/>
      <c r="Q458" s="48">
        <v>0</v>
      </c>
      <c r="R458" s="48"/>
      <c r="S458" s="48">
        <v>14781</v>
      </c>
      <c r="T458" s="48"/>
      <c r="U458" s="48">
        <v>0</v>
      </c>
      <c r="V458" s="48"/>
      <c r="W458" s="48">
        <v>0</v>
      </c>
      <c r="X458" s="48"/>
      <c r="Y458" s="48">
        <v>0</v>
      </c>
      <c r="Z458" s="48"/>
      <c r="AA458" s="48">
        <v>0</v>
      </c>
      <c r="AB458" s="48"/>
      <c r="AC458" s="48">
        <v>0</v>
      </c>
      <c r="AD458" s="48"/>
      <c r="AE458" s="48">
        <v>0</v>
      </c>
      <c r="AF458" s="48"/>
      <c r="AG458" s="48">
        <v>0</v>
      </c>
      <c r="AH458" s="19">
        <f t="shared" si="22"/>
        <v>205943</v>
      </c>
      <c r="AI458" s="48">
        <f t="shared" si="23"/>
        <v>205943</v>
      </c>
    </row>
    <row r="459" spans="1:35" x14ac:dyDescent="0.2">
      <c r="A459" s="1" t="s">
        <v>825</v>
      </c>
      <c r="C459" s="1" t="s">
        <v>349</v>
      </c>
      <c r="E459" s="48">
        <v>15272.08</v>
      </c>
      <c r="F459" s="48"/>
      <c r="G459" s="48">
        <v>0</v>
      </c>
      <c r="H459" s="48"/>
      <c r="I459" s="48">
        <v>7412.54</v>
      </c>
      <c r="J459" s="48"/>
      <c r="K459" s="48">
        <v>0</v>
      </c>
      <c r="L459" s="48"/>
      <c r="M459" s="48">
        <v>0</v>
      </c>
      <c r="N459" s="48"/>
      <c r="O459" s="48">
        <v>0</v>
      </c>
      <c r="P459" s="48"/>
      <c r="Q459" s="48">
        <v>237.96</v>
      </c>
      <c r="R459" s="48"/>
      <c r="S459" s="48">
        <v>7.35</v>
      </c>
      <c r="T459" s="48"/>
      <c r="U459" s="48">
        <v>0</v>
      </c>
      <c r="V459" s="48"/>
      <c r="W459" s="48">
        <v>0</v>
      </c>
      <c r="X459" s="48"/>
      <c r="Y459" s="48">
        <v>0</v>
      </c>
      <c r="Z459" s="48"/>
      <c r="AA459" s="48">
        <v>0</v>
      </c>
      <c r="AB459" s="48"/>
      <c r="AC459" s="48">
        <v>0</v>
      </c>
      <c r="AD459" s="48"/>
      <c r="AE459" s="48">
        <v>384.02</v>
      </c>
      <c r="AF459" s="48"/>
      <c r="AG459" s="48">
        <v>0</v>
      </c>
      <c r="AH459" s="19">
        <f t="shared" si="22"/>
        <v>23313.949999999997</v>
      </c>
      <c r="AI459" s="48">
        <f t="shared" si="23"/>
        <v>23313.949999999997</v>
      </c>
    </row>
    <row r="460" spans="1:35" x14ac:dyDescent="0.2">
      <c r="A460" s="1" t="s">
        <v>784</v>
      </c>
      <c r="C460" s="1" t="s">
        <v>293</v>
      </c>
      <c r="E460" s="48">
        <v>847035</v>
      </c>
      <c r="F460" s="48"/>
      <c r="G460" s="48">
        <v>3423632</v>
      </c>
      <c r="H460" s="48"/>
      <c r="I460" s="48">
        <v>576417</v>
      </c>
      <c r="J460" s="48"/>
      <c r="K460" s="48">
        <v>0</v>
      </c>
      <c r="L460" s="48"/>
      <c r="M460" s="48">
        <v>207178</v>
      </c>
      <c r="N460" s="48"/>
      <c r="O460" s="48">
        <v>130260</v>
      </c>
      <c r="P460" s="48"/>
      <c r="Q460" s="48">
        <v>54784</v>
      </c>
      <c r="R460" s="48"/>
      <c r="S460" s="48">
        <v>122658</v>
      </c>
      <c r="T460" s="48"/>
      <c r="U460" s="48">
        <v>0</v>
      </c>
      <c r="V460" s="48"/>
      <c r="W460" s="48">
        <v>0</v>
      </c>
      <c r="X460" s="48"/>
      <c r="Y460" s="48">
        <v>0</v>
      </c>
      <c r="Z460" s="48"/>
      <c r="AA460" s="48">
        <v>0</v>
      </c>
      <c r="AB460" s="48"/>
      <c r="AC460" s="48">
        <v>0</v>
      </c>
      <c r="AD460" s="48"/>
      <c r="AE460" s="48">
        <v>0</v>
      </c>
      <c r="AF460" s="48"/>
      <c r="AG460" s="48">
        <v>0</v>
      </c>
      <c r="AH460" s="19">
        <f t="shared" si="22"/>
        <v>5361964</v>
      </c>
      <c r="AI460" s="48">
        <f t="shared" si="23"/>
        <v>5361964</v>
      </c>
    </row>
    <row r="461" spans="1:35" x14ac:dyDescent="0.2">
      <c r="A461" s="1" t="s">
        <v>214</v>
      </c>
      <c r="C461" s="1" t="s">
        <v>518</v>
      </c>
      <c r="E461" s="48">
        <v>15161.12</v>
      </c>
      <c r="F461" s="48"/>
      <c r="G461" s="48">
        <v>0</v>
      </c>
      <c r="H461" s="48"/>
      <c r="I461" s="48">
        <v>5500.15</v>
      </c>
      <c r="J461" s="48"/>
      <c r="K461" s="48">
        <v>0</v>
      </c>
      <c r="L461" s="48"/>
      <c r="M461" s="48">
        <v>0</v>
      </c>
      <c r="N461" s="48"/>
      <c r="O461" s="48">
        <v>197</v>
      </c>
      <c r="P461" s="48"/>
      <c r="Q461" s="48">
        <v>12.55</v>
      </c>
      <c r="R461" s="48"/>
      <c r="S461" s="48">
        <v>3605.12</v>
      </c>
      <c r="T461" s="48"/>
      <c r="U461" s="48">
        <v>0</v>
      </c>
      <c r="V461" s="48"/>
      <c r="W461" s="48">
        <v>0</v>
      </c>
      <c r="X461" s="48"/>
      <c r="Y461" s="48">
        <v>0</v>
      </c>
      <c r="Z461" s="48"/>
      <c r="AA461" s="48">
        <v>0</v>
      </c>
      <c r="AB461" s="48"/>
      <c r="AC461" s="48">
        <v>0</v>
      </c>
      <c r="AD461" s="48"/>
      <c r="AE461" s="48">
        <v>0</v>
      </c>
      <c r="AF461" s="48"/>
      <c r="AG461" s="48">
        <v>0</v>
      </c>
      <c r="AH461" s="19">
        <f t="shared" si="22"/>
        <v>24475.94</v>
      </c>
      <c r="AI461" s="48">
        <f t="shared" si="23"/>
        <v>24475.94</v>
      </c>
    </row>
    <row r="462" spans="1:35" x14ac:dyDescent="0.2">
      <c r="A462" s="1" t="s">
        <v>175</v>
      </c>
      <c r="C462" s="1" t="s">
        <v>467</v>
      </c>
      <c r="E462" s="48">
        <v>3185.57</v>
      </c>
      <c r="F462" s="48"/>
      <c r="G462" s="48">
        <v>0</v>
      </c>
      <c r="H462" s="48"/>
      <c r="I462" s="48">
        <v>19589.7</v>
      </c>
      <c r="J462" s="48"/>
      <c r="K462" s="48">
        <v>0</v>
      </c>
      <c r="L462" s="48"/>
      <c r="M462" s="48">
        <v>0</v>
      </c>
      <c r="N462" s="48"/>
      <c r="O462" s="48">
        <v>2677.86</v>
      </c>
      <c r="P462" s="48"/>
      <c r="Q462" s="48">
        <v>5.23</v>
      </c>
      <c r="R462" s="48"/>
      <c r="S462" s="48">
        <v>0</v>
      </c>
      <c r="T462" s="48"/>
      <c r="U462" s="48">
        <v>0</v>
      </c>
      <c r="V462" s="48"/>
      <c r="W462" s="48">
        <v>0</v>
      </c>
      <c r="X462" s="48"/>
      <c r="Y462" s="48">
        <v>0</v>
      </c>
      <c r="Z462" s="48"/>
      <c r="AA462" s="48">
        <v>0</v>
      </c>
      <c r="AB462" s="48"/>
      <c r="AC462" s="48">
        <v>0</v>
      </c>
      <c r="AD462" s="48"/>
      <c r="AE462" s="48">
        <v>0</v>
      </c>
      <c r="AF462" s="48"/>
      <c r="AG462" s="48">
        <v>0</v>
      </c>
      <c r="AH462" s="19">
        <f t="shared" si="22"/>
        <v>25458.36</v>
      </c>
      <c r="AI462" s="48">
        <f t="shared" si="23"/>
        <v>25458.36</v>
      </c>
    </row>
    <row r="463" spans="1:35" x14ac:dyDescent="0.2">
      <c r="A463" s="1" t="s">
        <v>312</v>
      </c>
      <c r="C463" s="1" t="s">
        <v>306</v>
      </c>
      <c r="E463" s="48">
        <v>7838</v>
      </c>
      <c r="F463" s="48"/>
      <c r="G463" s="48">
        <v>76431</v>
      </c>
      <c r="H463" s="48"/>
      <c r="I463" s="48">
        <v>18578</v>
      </c>
      <c r="J463" s="48"/>
      <c r="K463" s="48">
        <v>1446</v>
      </c>
      <c r="L463" s="48"/>
      <c r="M463" s="48">
        <v>0</v>
      </c>
      <c r="N463" s="48"/>
      <c r="O463" s="48">
        <v>1864</v>
      </c>
      <c r="P463" s="48"/>
      <c r="Q463" s="48">
        <v>571</v>
      </c>
      <c r="R463" s="48"/>
      <c r="S463" s="48">
        <v>12754</v>
      </c>
      <c r="T463" s="48"/>
      <c r="U463" s="48">
        <v>0</v>
      </c>
      <c r="V463" s="48"/>
      <c r="W463" s="48">
        <v>0</v>
      </c>
      <c r="X463" s="48"/>
      <c r="Y463" s="48">
        <v>0</v>
      </c>
      <c r="Z463" s="48"/>
      <c r="AA463" s="48">
        <v>0</v>
      </c>
      <c r="AB463" s="48"/>
      <c r="AC463" s="48">
        <v>0</v>
      </c>
      <c r="AD463" s="48"/>
      <c r="AE463" s="48">
        <v>0</v>
      </c>
      <c r="AF463" s="48"/>
      <c r="AG463" s="48">
        <v>0</v>
      </c>
      <c r="AH463" s="19">
        <f t="shared" si="22"/>
        <v>119482</v>
      </c>
      <c r="AI463" s="48">
        <f t="shared" si="23"/>
        <v>119482</v>
      </c>
    </row>
    <row r="464" spans="1:35" x14ac:dyDescent="0.2">
      <c r="A464" s="1" t="s">
        <v>321</v>
      </c>
      <c r="C464" s="1" t="s">
        <v>320</v>
      </c>
      <c r="E464" s="48">
        <v>29318</v>
      </c>
      <c r="F464" s="48"/>
      <c r="G464" s="48">
        <v>0</v>
      </c>
      <c r="H464" s="48"/>
      <c r="I464" s="48">
        <v>0</v>
      </c>
      <c r="J464" s="48"/>
      <c r="K464" s="48">
        <v>0</v>
      </c>
      <c r="L464" s="48"/>
      <c r="M464" s="48">
        <v>0</v>
      </c>
      <c r="N464" s="48"/>
      <c r="O464" s="48">
        <v>7726</v>
      </c>
      <c r="P464" s="48"/>
      <c r="Q464" s="48">
        <v>1074</v>
      </c>
      <c r="R464" s="48"/>
      <c r="S464" s="48">
        <f>823+2500+2700</f>
        <v>6023</v>
      </c>
      <c r="T464" s="48"/>
      <c r="U464" s="48">
        <v>0</v>
      </c>
      <c r="V464" s="48"/>
      <c r="W464" s="48">
        <v>0</v>
      </c>
      <c r="X464" s="48"/>
      <c r="Y464" s="48">
        <v>0</v>
      </c>
      <c r="Z464" s="48"/>
      <c r="AA464" s="48">
        <v>0</v>
      </c>
      <c r="AB464" s="48"/>
      <c r="AC464" s="48">
        <v>0</v>
      </c>
      <c r="AD464" s="48"/>
      <c r="AE464" s="48">
        <v>0</v>
      </c>
      <c r="AF464" s="48"/>
      <c r="AG464" s="48">
        <v>0</v>
      </c>
      <c r="AH464" s="19">
        <f t="shared" si="22"/>
        <v>44141</v>
      </c>
      <c r="AI464" s="48">
        <f t="shared" si="23"/>
        <v>44141</v>
      </c>
    </row>
    <row r="465" spans="1:35" x14ac:dyDescent="0.2">
      <c r="A465" s="1" t="s">
        <v>192</v>
      </c>
      <c r="C465" s="1" t="s">
        <v>476</v>
      </c>
      <c r="E465" s="48">
        <v>224977.49</v>
      </c>
      <c r="F465" s="48"/>
      <c r="G465" s="48">
        <v>0</v>
      </c>
      <c r="H465" s="48"/>
      <c r="I465" s="48">
        <v>130188.88</v>
      </c>
      <c r="J465" s="48"/>
      <c r="K465" s="48">
        <v>0</v>
      </c>
      <c r="L465" s="48"/>
      <c r="M465" s="48">
        <v>64841.23</v>
      </c>
      <c r="N465" s="48"/>
      <c r="O465" s="48">
        <v>46697.43</v>
      </c>
      <c r="P465" s="48"/>
      <c r="Q465" s="48">
        <v>22709.86</v>
      </c>
      <c r="R465" s="48"/>
      <c r="S465" s="48">
        <v>38962.44</v>
      </c>
      <c r="T465" s="48"/>
      <c r="U465" s="48">
        <v>0</v>
      </c>
      <c r="V465" s="48"/>
      <c r="W465" s="48">
        <v>0</v>
      </c>
      <c r="X465" s="48"/>
      <c r="Y465" s="48">
        <v>0</v>
      </c>
      <c r="Z465" s="48"/>
      <c r="AA465" s="48">
        <v>0</v>
      </c>
      <c r="AB465" s="48"/>
      <c r="AC465" s="48">
        <v>0</v>
      </c>
      <c r="AD465" s="48"/>
      <c r="AE465" s="48">
        <v>0</v>
      </c>
      <c r="AF465" s="48"/>
      <c r="AG465" s="48">
        <v>0</v>
      </c>
      <c r="AH465" s="19">
        <f t="shared" ref="AH465:AH503" si="24">SUM(D465:AF465)</f>
        <v>528377.32999999996</v>
      </c>
      <c r="AI465" s="48">
        <f t="shared" si="23"/>
        <v>528377.32999999996</v>
      </c>
    </row>
    <row r="466" spans="1:35" x14ac:dyDescent="0.2">
      <c r="A466" s="1" t="s">
        <v>424</v>
      </c>
      <c r="C466" s="1" t="s">
        <v>423</v>
      </c>
      <c r="E466" s="48">
        <v>458439</v>
      </c>
      <c r="F466" s="48"/>
      <c r="G466" s="48">
        <v>3628362</v>
      </c>
      <c r="H466" s="48"/>
      <c r="I466" s="48">
        <v>345413</v>
      </c>
      <c r="J466" s="48"/>
      <c r="K466" s="48">
        <v>0</v>
      </c>
      <c r="L466" s="48"/>
      <c r="M466" s="48">
        <v>116851</v>
      </c>
      <c r="N466" s="48"/>
      <c r="O466" s="48">
        <v>69544</v>
      </c>
      <c r="P466" s="48"/>
      <c r="Q466" s="48">
        <v>35091</v>
      </c>
      <c r="R466" s="48"/>
      <c r="S466" s="48">
        <v>169176</v>
      </c>
      <c r="T466" s="48"/>
      <c r="U466" s="48">
        <v>0</v>
      </c>
      <c r="V466" s="48"/>
      <c r="W466" s="48">
        <v>0</v>
      </c>
      <c r="X466" s="48"/>
      <c r="Y466" s="48">
        <v>0</v>
      </c>
      <c r="Z466" s="48"/>
      <c r="AA466" s="48">
        <v>0</v>
      </c>
      <c r="AB466" s="48"/>
      <c r="AC466" s="48">
        <v>0</v>
      </c>
      <c r="AD466" s="48"/>
      <c r="AE466" s="48">
        <v>0</v>
      </c>
      <c r="AF466" s="48"/>
      <c r="AG466" s="48">
        <v>0</v>
      </c>
      <c r="AH466" s="19">
        <f t="shared" si="24"/>
        <v>4822876</v>
      </c>
      <c r="AI466" s="48">
        <f t="shared" ref="AI466:AI503" si="25">SUM(E466:AG466)</f>
        <v>4822876</v>
      </c>
    </row>
    <row r="467" spans="1:35" x14ac:dyDescent="0.2">
      <c r="A467" s="1" t="s">
        <v>478</v>
      </c>
      <c r="C467" s="1" t="s">
        <v>476</v>
      </c>
      <c r="E467" s="48">
        <v>61586.31</v>
      </c>
      <c r="F467" s="48"/>
      <c r="G467" s="48">
        <v>483290.26</v>
      </c>
      <c r="H467" s="48"/>
      <c r="I467" s="48">
        <v>33920.050000000003</v>
      </c>
      <c r="J467" s="48"/>
      <c r="K467" s="48">
        <v>0</v>
      </c>
      <c r="L467" s="48"/>
      <c r="M467" s="48">
        <v>37366.22</v>
      </c>
      <c r="N467" s="48"/>
      <c r="O467" s="48">
        <v>179</v>
      </c>
      <c r="P467" s="48"/>
      <c r="Q467" s="48">
        <v>1290.3900000000001</v>
      </c>
      <c r="R467" s="48"/>
      <c r="S467" s="48">
        <v>15196.64</v>
      </c>
      <c r="T467" s="48"/>
      <c r="U467" s="48">
        <v>0</v>
      </c>
      <c r="V467" s="48"/>
      <c r="W467" s="48">
        <v>0</v>
      </c>
      <c r="X467" s="48"/>
      <c r="Y467" s="48">
        <v>0</v>
      </c>
      <c r="Z467" s="48"/>
      <c r="AA467" s="48">
        <v>0</v>
      </c>
      <c r="AB467" s="48"/>
      <c r="AC467" s="48">
        <v>0</v>
      </c>
      <c r="AD467" s="48"/>
      <c r="AE467" s="48">
        <v>0</v>
      </c>
      <c r="AF467" s="48"/>
      <c r="AG467" s="48">
        <v>0</v>
      </c>
      <c r="AH467" s="19">
        <f t="shared" si="24"/>
        <v>632828.87000000011</v>
      </c>
      <c r="AI467" s="48">
        <f t="shared" si="25"/>
        <v>632828.87000000011</v>
      </c>
    </row>
    <row r="468" spans="1:35" x14ac:dyDescent="0.2">
      <c r="A468" s="1" t="s">
        <v>201</v>
      </c>
      <c r="C468" s="1" t="s">
        <v>491</v>
      </c>
      <c r="E468" s="48">
        <v>4057.88</v>
      </c>
      <c r="F468" s="48"/>
      <c r="G468" s="48">
        <v>0</v>
      </c>
      <c r="H468" s="48"/>
      <c r="I468" s="48">
        <v>607.12</v>
      </c>
      <c r="J468" s="48"/>
      <c r="K468" s="48">
        <v>0</v>
      </c>
      <c r="L468" s="48"/>
      <c r="M468" s="48">
        <v>0</v>
      </c>
      <c r="N468" s="48"/>
      <c r="O468" s="48">
        <v>0</v>
      </c>
      <c r="P468" s="48"/>
      <c r="Q468" s="48">
        <v>501.28</v>
      </c>
      <c r="R468" s="48"/>
      <c r="S468" s="48">
        <v>43.43</v>
      </c>
      <c r="T468" s="48"/>
      <c r="U468" s="48">
        <v>0</v>
      </c>
      <c r="V468" s="48"/>
      <c r="W468" s="48">
        <v>0</v>
      </c>
      <c r="X468" s="48"/>
      <c r="Y468" s="48">
        <v>0</v>
      </c>
      <c r="Z468" s="48"/>
      <c r="AA468" s="48">
        <v>0</v>
      </c>
      <c r="AB468" s="48"/>
      <c r="AC468" s="48">
        <v>0</v>
      </c>
      <c r="AD468" s="48"/>
      <c r="AE468" s="48">
        <v>0</v>
      </c>
      <c r="AF468" s="48"/>
      <c r="AG468" s="48">
        <v>0</v>
      </c>
      <c r="AH468" s="19">
        <f t="shared" si="24"/>
        <v>5209.71</v>
      </c>
      <c r="AI468" s="48">
        <f t="shared" si="25"/>
        <v>5209.71</v>
      </c>
    </row>
    <row r="469" spans="1:35" x14ac:dyDescent="0.2">
      <c r="A469" s="1" t="s">
        <v>38</v>
      </c>
      <c r="C469" s="1" t="s">
        <v>277</v>
      </c>
      <c r="E469" s="48">
        <v>19454.52</v>
      </c>
      <c r="F469" s="48"/>
      <c r="G469" s="48">
        <v>109060.2</v>
      </c>
      <c r="H469" s="48"/>
      <c r="I469" s="48">
        <v>50869.29</v>
      </c>
      <c r="J469" s="48"/>
      <c r="K469" s="48">
        <v>0</v>
      </c>
      <c r="L469" s="48"/>
      <c r="M469" s="48">
        <v>1040</v>
      </c>
      <c r="N469" s="48"/>
      <c r="O469" s="48">
        <v>61781.8</v>
      </c>
      <c r="P469" s="48"/>
      <c r="Q469" s="48">
        <v>333.54</v>
      </c>
      <c r="R469" s="48"/>
      <c r="S469" s="48">
        <v>23208.79</v>
      </c>
      <c r="T469" s="48"/>
      <c r="U469" s="48">
        <v>0</v>
      </c>
      <c r="V469" s="48"/>
      <c r="W469" s="48">
        <v>0</v>
      </c>
      <c r="X469" s="48"/>
      <c r="Y469" s="48">
        <v>0</v>
      </c>
      <c r="Z469" s="48"/>
      <c r="AA469" s="48">
        <v>0</v>
      </c>
      <c r="AB469" s="48"/>
      <c r="AC469" s="48">
        <v>0</v>
      </c>
      <c r="AD469" s="48"/>
      <c r="AE469" s="48">
        <v>0</v>
      </c>
      <c r="AF469" s="48"/>
      <c r="AG469" s="48">
        <v>0</v>
      </c>
      <c r="AH469" s="19">
        <f t="shared" si="24"/>
        <v>265748.14</v>
      </c>
      <c r="AI469" s="48">
        <f t="shared" si="25"/>
        <v>265748.14</v>
      </c>
    </row>
    <row r="470" spans="1:35" x14ac:dyDescent="0.2">
      <c r="A470" s="1" t="s">
        <v>479</v>
      </c>
      <c r="C470" s="1" t="s">
        <v>476</v>
      </c>
      <c r="E470" s="48">
        <v>37116</v>
      </c>
      <c r="F470" s="48"/>
      <c r="G470" s="48">
        <v>219992</v>
      </c>
      <c r="H470" s="48"/>
      <c r="I470" s="48">
        <v>129665</v>
      </c>
      <c r="J470" s="48"/>
      <c r="K470" s="48">
        <v>0</v>
      </c>
      <c r="L470" s="48"/>
      <c r="M470" s="48">
        <v>19670</v>
      </c>
      <c r="N470" s="48"/>
      <c r="O470" s="48">
        <v>2181</v>
      </c>
      <c r="P470" s="48"/>
      <c r="Q470" s="48">
        <v>948</v>
      </c>
      <c r="R470" s="48"/>
      <c r="S470" s="48">
        <v>3023</v>
      </c>
      <c r="T470" s="48"/>
      <c r="U470" s="48">
        <v>0</v>
      </c>
      <c r="V470" s="48"/>
      <c r="W470" s="48">
        <v>0</v>
      </c>
      <c r="X470" s="48"/>
      <c r="Y470" s="48">
        <v>27700</v>
      </c>
      <c r="Z470" s="48"/>
      <c r="AA470" s="48">
        <v>79023</v>
      </c>
      <c r="AB470" s="48"/>
      <c r="AC470" s="48">
        <v>0</v>
      </c>
      <c r="AD470" s="48"/>
      <c r="AE470" s="48">
        <v>14575</v>
      </c>
      <c r="AF470" s="48"/>
      <c r="AG470" s="48">
        <v>13171</v>
      </c>
      <c r="AH470" s="19">
        <f t="shared" si="24"/>
        <v>533893</v>
      </c>
      <c r="AI470" s="48">
        <f t="shared" si="25"/>
        <v>547064</v>
      </c>
    </row>
    <row r="471" spans="1:35" x14ac:dyDescent="0.2">
      <c r="A471" s="1" t="s">
        <v>526</v>
      </c>
      <c r="C471" s="1" t="s">
        <v>521</v>
      </c>
      <c r="E471" s="48">
        <v>4896.38</v>
      </c>
      <c r="F471" s="48"/>
      <c r="G471" s="48">
        <v>0</v>
      </c>
      <c r="H471" s="48"/>
      <c r="I471" s="48">
        <v>35759.11</v>
      </c>
      <c r="J471" s="48"/>
      <c r="K471" s="48">
        <v>0</v>
      </c>
      <c r="L471" s="48"/>
      <c r="M471" s="48">
        <v>0</v>
      </c>
      <c r="N471" s="48"/>
      <c r="O471" s="48">
        <v>0</v>
      </c>
      <c r="P471" s="48"/>
      <c r="Q471" s="48">
        <v>8.5</v>
      </c>
      <c r="R471" s="48"/>
      <c r="S471" s="48">
        <v>0</v>
      </c>
      <c r="T471" s="48"/>
      <c r="U471" s="48">
        <v>0</v>
      </c>
      <c r="V471" s="48"/>
      <c r="W471" s="48">
        <v>0</v>
      </c>
      <c r="X471" s="48"/>
      <c r="Y471" s="48">
        <v>0</v>
      </c>
      <c r="Z471" s="48"/>
      <c r="AA471" s="48">
        <v>0</v>
      </c>
      <c r="AB471" s="48"/>
      <c r="AC471" s="48">
        <v>0</v>
      </c>
      <c r="AD471" s="48"/>
      <c r="AE471" s="48">
        <v>0</v>
      </c>
      <c r="AF471" s="48"/>
      <c r="AG471" s="48">
        <v>0</v>
      </c>
      <c r="AH471" s="19">
        <f t="shared" si="24"/>
        <v>40663.99</v>
      </c>
      <c r="AI471" s="48">
        <f t="shared" si="25"/>
        <v>40663.99</v>
      </c>
    </row>
    <row r="472" spans="1:35" x14ac:dyDescent="0.2">
      <c r="A472" s="1" t="s">
        <v>370</v>
      </c>
      <c r="C472" s="1" t="s">
        <v>366</v>
      </c>
      <c r="E472" s="48">
        <v>932</v>
      </c>
      <c r="F472" s="48"/>
      <c r="G472" s="48">
        <v>0</v>
      </c>
      <c r="H472" s="48"/>
      <c r="I472" s="48">
        <v>2675</v>
      </c>
      <c r="J472" s="48"/>
      <c r="K472" s="48">
        <v>0</v>
      </c>
      <c r="L472" s="48"/>
      <c r="M472" s="48">
        <v>0</v>
      </c>
      <c r="N472" s="48"/>
      <c r="O472" s="48">
        <v>834</v>
      </c>
      <c r="P472" s="48"/>
      <c r="Q472" s="48">
        <v>2</v>
      </c>
      <c r="R472" s="48"/>
      <c r="S472" s="48">
        <v>1767</v>
      </c>
      <c r="T472" s="48"/>
      <c r="U472" s="48">
        <v>0</v>
      </c>
      <c r="V472" s="48"/>
      <c r="W472" s="48">
        <v>0</v>
      </c>
      <c r="X472" s="48"/>
      <c r="Y472" s="48">
        <v>0</v>
      </c>
      <c r="Z472" s="48"/>
      <c r="AA472" s="48">
        <v>0</v>
      </c>
      <c r="AB472" s="48"/>
      <c r="AC472" s="48">
        <v>0</v>
      </c>
      <c r="AD472" s="48"/>
      <c r="AE472" s="48">
        <v>0</v>
      </c>
      <c r="AF472" s="48"/>
      <c r="AG472" s="48">
        <v>0</v>
      </c>
      <c r="AH472" s="19">
        <f t="shared" si="24"/>
        <v>6210</v>
      </c>
      <c r="AI472" s="48">
        <f t="shared" si="25"/>
        <v>6210</v>
      </c>
    </row>
    <row r="473" spans="1:35" x14ac:dyDescent="0.2">
      <c r="A473" s="1" t="s">
        <v>460</v>
      </c>
      <c r="C473" s="1" t="s">
        <v>460</v>
      </c>
      <c r="E473" s="48">
        <f>162809+12970</f>
        <v>175779</v>
      </c>
      <c r="F473" s="48"/>
      <c r="G473" s="48">
        <v>452789</v>
      </c>
      <c r="H473" s="48"/>
      <c r="I473" s="48">
        <v>105140</v>
      </c>
      <c r="J473" s="48"/>
      <c r="K473" s="48">
        <v>0</v>
      </c>
      <c r="L473" s="48"/>
      <c r="M473" s="48">
        <v>12987</v>
      </c>
      <c r="N473" s="48"/>
      <c r="O473" s="48">
        <v>26397</v>
      </c>
      <c r="P473" s="48"/>
      <c r="Q473" s="48">
        <v>4067</v>
      </c>
      <c r="R473" s="48"/>
      <c r="S473" s="48">
        <v>52330</v>
      </c>
      <c r="T473" s="48"/>
      <c r="U473" s="48">
        <v>0</v>
      </c>
      <c r="V473" s="48"/>
      <c r="W473" s="48">
        <v>110000</v>
      </c>
      <c r="X473" s="48"/>
      <c r="Y473" s="48">
        <v>0</v>
      </c>
      <c r="Z473" s="48"/>
      <c r="AA473" s="48">
        <v>0</v>
      </c>
      <c r="AB473" s="48"/>
      <c r="AC473" s="48">
        <v>0</v>
      </c>
      <c r="AD473" s="48"/>
      <c r="AE473" s="48">
        <v>0</v>
      </c>
      <c r="AF473" s="48"/>
      <c r="AG473" s="48">
        <v>69664</v>
      </c>
      <c r="AH473" s="19">
        <f t="shared" si="24"/>
        <v>939489</v>
      </c>
      <c r="AI473" s="48">
        <f t="shared" si="25"/>
        <v>1009153</v>
      </c>
    </row>
    <row r="474" spans="1:35" x14ac:dyDescent="0.2">
      <c r="A474" s="1" t="s">
        <v>462</v>
      </c>
      <c r="C474" s="1" t="s">
        <v>460</v>
      </c>
      <c r="E474" s="48">
        <v>23242.6</v>
      </c>
      <c r="F474" s="48"/>
      <c r="G474" s="48">
        <v>0</v>
      </c>
      <c r="H474" s="48"/>
      <c r="I474" s="48">
        <v>85905.2</v>
      </c>
      <c r="J474" s="48"/>
      <c r="K474" s="48">
        <v>0</v>
      </c>
      <c r="L474" s="48"/>
      <c r="M474" s="48">
        <v>200</v>
      </c>
      <c r="N474" s="48"/>
      <c r="O474" s="48">
        <v>5985.92</v>
      </c>
      <c r="P474" s="48"/>
      <c r="Q474" s="48">
        <v>557.51</v>
      </c>
      <c r="R474" s="48"/>
      <c r="S474" s="48">
        <v>49793.39</v>
      </c>
      <c r="T474" s="48"/>
      <c r="U474" s="48">
        <v>0</v>
      </c>
      <c r="V474" s="48"/>
      <c r="W474" s="48">
        <v>0</v>
      </c>
      <c r="X474" s="48"/>
      <c r="Y474" s="48">
        <v>0</v>
      </c>
      <c r="Z474" s="48"/>
      <c r="AA474" s="48">
        <v>15439.44</v>
      </c>
      <c r="AB474" s="48"/>
      <c r="AC474" s="48">
        <v>0</v>
      </c>
      <c r="AD474" s="48"/>
      <c r="AE474" s="48">
        <v>0</v>
      </c>
      <c r="AF474" s="48"/>
      <c r="AG474" s="48">
        <v>0</v>
      </c>
      <c r="AH474" s="19">
        <f t="shared" si="24"/>
        <v>181124.06</v>
      </c>
      <c r="AI474" s="48">
        <f t="shared" si="25"/>
        <v>181124.06</v>
      </c>
    </row>
    <row r="475" spans="1:35" x14ac:dyDescent="0.2"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19"/>
      <c r="AI475" s="48"/>
    </row>
    <row r="476" spans="1:35" ht="12.75" x14ac:dyDescent="0.2"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19"/>
      <c r="AI476" s="88" t="s">
        <v>733</v>
      </c>
    </row>
    <row r="477" spans="1:35" x14ac:dyDescent="0.2"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19"/>
      <c r="AI477" s="48"/>
    </row>
    <row r="478" spans="1:35" x14ac:dyDescent="0.2">
      <c r="A478" s="1" t="s">
        <v>628</v>
      </c>
      <c r="C478" s="1" t="s">
        <v>616</v>
      </c>
      <c r="E478" s="68">
        <v>153765.23000000001</v>
      </c>
      <c r="F478" s="48"/>
      <c r="G478" s="68">
        <v>0</v>
      </c>
      <c r="H478" s="68"/>
      <c r="I478" s="68">
        <v>49710.45</v>
      </c>
      <c r="J478" s="68"/>
      <c r="K478" s="68">
        <v>0</v>
      </c>
      <c r="L478" s="68"/>
      <c r="M478" s="68">
        <v>0</v>
      </c>
      <c r="N478" s="68"/>
      <c r="O478" s="68">
        <v>28292.26</v>
      </c>
      <c r="P478" s="68"/>
      <c r="Q478" s="68">
        <v>186.66</v>
      </c>
      <c r="R478" s="68"/>
      <c r="S478" s="68">
        <v>1222.21</v>
      </c>
      <c r="T478" s="68"/>
      <c r="U478" s="68">
        <v>0</v>
      </c>
      <c r="V478" s="68"/>
      <c r="W478" s="68">
        <v>0</v>
      </c>
      <c r="X478" s="68"/>
      <c r="Y478" s="68">
        <v>0</v>
      </c>
      <c r="Z478" s="68"/>
      <c r="AA478" s="68">
        <v>0</v>
      </c>
      <c r="AB478" s="68"/>
      <c r="AC478" s="68">
        <v>0</v>
      </c>
      <c r="AD478" s="68"/>
      <c r="AE478" s="68">
        <v>3620.41</v>
      </c>
      <c r="AF478" s="68"/>
      <c r="AG478" s="68">
        <v>0</v>
      </c>
      <c r="AH478" s="68">
        <f t="shared" si="24"/>
        <v>236797.22</v>
      </c>
      <c r="AI478" s="68">
        <f t="shared" si="25"/>
        <v>236797.22</v>
      </c>
    </row>
    <row r="479" spans="1:35" x14ac:dyDescent="0.2">
      <c r="A479" s="1" t="s">
        <v>563</v>
      </c>
      <c r="C479" s="1" t="s">
        <v>558</v>
      </c>
      <c r="E479" s="48">
        <v>79679.25</v>
      </c>
      <c r="F479" s="48"/>
      <c r="G479" s="48">
        <v>0</v>
      </c>
      <c r="H479" s="48"/>
      <c r="I479" s="48">
        <v>22915.32</v>
      </c>
      <c r="J479" s="48"/>
      <c r="K479" s="48">
        <v>0</v>
      </c>
      <c r="L479" s="48"/>
      <c r="M479" s="48">
        <v>210</v>
      </c>
      <c r="N479" s="48"/>
      <c r="O479" s="48">
        <v>17338.23</v>
      </c>
      <c r="P479" s="48"/>
      <c r="Q479" s="48">
        <v>4531</v>
      </c>
      <c r="R479" s="48"/>
      <c r="S479" s="48">
        <v>15287.99</v>
      </c>
      <c r="T479" s="48"/>
      <c r="U479" s="48">
        <v>0</v>
      </c>
      <c r="V479" s="48"/>
      <c r="W479" s="48">
        <v>0</v>
      </c>
      <c r="X479" s="48"/>
      <c r="Y479" s="48">
        <v>0</v>
      </c>
      <c r="Z479" s="48"/>
      <c r="AA479" s="48">
        <v>180000</v>
      </c>
      <c r="AB479" s="48"/>
      <c r="AC479" s="48">
        <v>15000</v>
      </c>
      <c r="AD479" s="48"/>
      <c r="AE479" s="48">
        <v>1390.5</v>
      </c>
      <c r="AF479" s="48"/>
      <c r="AG479" s="48">
        <v>0</v>
      </c>
      <c r="AH479" s="19">
        <f t="shared" si="24"/>
        <v>336352.29000000004</v>
      </c>
      <c r="AI479" s="48">
        <f t="shared" si="25"/>
        <v>336352.29000000004</v>
      </c>
    </row>
    <row r="480" spans="1:35" x14ac:dyDescent="0.2">
      <c r="A480" s="1" t="s">
        <v>513</v>
      </c>
      <c r="C480" s="1" t="s">
        <v>511</v>
      </c>
      <c r="E480" s="48">
        <v>11061.12</v>
      </c>
      <c r="F480" s="48"/>
      <c r="G480" s="48">
        <v>300540.62</v>
      </c>
      <c r="H480" s="48"/>
      <c r="I480" s="48">
        <v>87158.51</v>
      </c>
      <c r="J480" s="48"/>
      <c r="K480" s="48">
        <v>0</v>
      </c>
      <c r="L480" s="48"/>
      <c r="M480" s="48">
        <v>220469.94</v>
      </c>
      <c r="N480" s="48"/>
      <c r="O480" s="48">
        <v>43232.43</v>
      </c>
      <c r="P480" s="48"/>
      <c r="Q480" s="48">
        <v>38.479999999999997</v>
      </c>
      <c r="R480" s="48"/>
      <c r="S480" s="48">
        <v>13974.56</v>
      </c>
      <c r="T480" s="48"/>
      <c r="U480" s="48">
        <v>0</v>
      </c>
      <c r="V480" s="48"/>
      <c r="W480" s="48">
        <v>0</v>
      </c>
      <c r="X480" s="48"/>
      <c r="Y480" s="48">
        <v>0</v>
      </c>
      <c r="Z480" s="48"/>
      <c r="AA480" s="48">
        <v>1263.0999999999999</v>
      </c>
      <c r="AB480" s="48"/>
      <c r="AC480" s="48">
        <v>0</v>
      </c>
      <c r="AD480" s="48"/>
      <c r="AE480" s="48">
        <v>0</v>
      </c>
      <c r="AF480" s="48"/>
      <c r="AG480" s="48">
        <v>0</v>
      </c>
      <c r="AH480" s="19">
        <f t="shared" si="24"/>
        <v>677738.76</v>
      </c>
      <c r="AI480" s="48">
        <f t="shared" si="25"/>
        <v>677738.76</v>
      </c>
    </row>
    <row r="481" spans="1:35" x14ac:dyDescent="0.2">
      <c r="A481" s="1" t="s">
        <v>402</v>
      </c>
      <c r="C481" s="1" t="s">
        <v>399</v>
      </c>
      <c r="E481" s="48">
        <v>65564</v>
      </c>
      <c r="F481" s="48"/>
      <c r="G481" s="48">
        <v>605424</v>
      </c>
      <c r="H481" s="48"/>
      <c r="I481" s="48">
        <v>227906</v>
      </c>
      <c r="J481" s="48"/>
      <c r="K481" s="48">
        <v>2163</v>
      </c>
      <c r="L481" s="48"/>
      <c r="M481" s="48">
        <v>3715</v>
      </c>
      <c r="N481" s="48"/>
      <c r="O481" s="48">
        <v>8874</v>
      </c>
      <c r="P481" s="48"/>
      <c r="Q481" s="48">
        <v>1244</v>
      </c>
      <c r="R481" s="48"/>
      <c r="S481" s="48">
        <v>4429</v>
      </c>
      <c r="T481" s="48"/>
      <c r="U481" s="48">
        <v>0</v>
      </c>
      <c r="V481" s="48"/>
      <c r="W481" s="48">
        <v>0</v>
      </c>
      <c r="X481" s="48"/>
      <c r="Y481" s="48">
        <v>0</v>
      </c>
      <c r="Z481" s="48"/>
      <c r="AA481" s="48">
        <v>0</v>
      </c>
      <c r="AB481" s="48"/>
      <c r="AC481" s="48">
        <v>0</v>
      </c>
      <c r="AD481" s="48"/>
      <c r="AE481" s="48">
        <v>0</v>
      </c>
      <c r="AF481" s="48"/>
      <c r="AG481" s="48">
        <v>0</v>
      </c>
      <c r="AH481" s="19">
        <f t="shared" si="24"/>
        <v>919319</v>
      </c>
      <c r="AI481" s="48">
        <f t="shared" si="25"/>
        <v>919319</v>
      </c>
    </row>
    <row r="482" spans="1:35" x14ac:dyDescent="0.2">
      <c r="A482" s="1" t="s">
        <v>629</v>
      </c>
      <c r="C482" s="1" t="s">
        <v>848</v>
      </c>
      <c r="E482" s="48">
        <v>17347.12</v>
      </c>
      <c r="F482" s="48"/>
      <c r="G482" s="48">
        <v>164018.85</v>
      </c>
      <c r="H482" s="48"/>
      <c r="I482" s="48">
        <v>45466.7</v>
      </c>
      <c r="J482" s="48"/>
      <c r="K482" s="48">
        <v>0</v>
      </c>
      <c r="L482" s="48"/>
      <c r="M482" s="48">
        <v>0</v>
      </c>
      <c r="N482" s="48"/>
      <c r="O482" s="48">
        <v>4988</v>
      </c>
      <c r="P482" s="48"/>
      <c r="Q482" s="48">
        <v>115.26</v>
      </c>
      <c r="R482" s="48"/>
      <c r="S482" s="48">
        <v>28358.45</v>
      </c>
      <c r="T482" s="48"/>
      <c r="U482" s="48">
        <v>0</v>
      </c>
      <c r="V482" s="48"/>
      <c r="W482" s="48">
        <v>0</v>
      </c>
      <c r="X482" s="48"/>
      <c r="Y482" s="48">
        <v>0</v>
      </c>
      <c r="Z482" s="48"/>
      <c r="AA482" s="48">
        <v>0</v>
      </c>
      <c r="AB482" s="48"/>
      <c r="AC482" s="48">
        <v>0</v>
      </c>
      <c r="AD482" s="48"/>
      <c r="AE482" s="48">
        <v>0</v>
      </c>
      <c r="AF482" s="48"/>
      <c r="AG482" s="48">
        <v>0</v>
      </c>
      <c r="AH482" s="19">
        <f t="shared" si="24"/>
        <v>260294.38</v>
      </c>
      <c r="AI482" s="48">
        <f t="shared" si="25"/>
        <v>260294.38</v>
      </c>
    </row>
    <row r="483" spans="1:35" x14ac:dyDescent="0.2">
      <c r="A483" s="1" t="s">
        <v>448</v>
      </c>
      <c r="C483" s="1" t="s">
        <v>446</v>
      </c>
      <c r="E483" s="48">
        <v>12838</v>
      </c>
      <c r="F483" s="48"/>
      <c r="G483" s="48">
        <v>63113</v>
      </c>
      <c r="H483" s="48"/>
      <c r="I483" s="48">
        <v>7927</v>
      </c>
      <c r="J483" s="48"/>
      <c r="K483" s="48">
        <v>0</v>
      </c>
      <c r="L483" s="48"/>
      <c r="M483" s="48">
        <v>30</v>
      </c>
      <c r="N483" s="48"/>
      <c r="O483" s="48">
        <v>7515</v>
      </c>
      <c r="P483" s="48"/>
      <c r="Q483" s="48">
        <v>0</v>
      </c>
      <c r="R483" s="48"/>
      <c r="S483" s="48">
        <v>0</v>
      </c>
      <c r="T483" s="48"/>
      <c r="U483" s="48">
        <v>0</v>
      </c>
      <c r="V483" s="48"/>
      <c r="W483" s="48">
        <v>0</v>
      </c>
      <c r="X483" s="48"/>
      <c r="Y483" s="48">
        <v>0</v>
      </c>
      <c r="Z483" s="48"/>
      <c r="AA483" s="48">
        <v>0</v>
      </c>
      <c r="AB483" s="48"/>
      <c r="AC483" s="48">
        <v>25000</v>
      </c>
      <c r="AD483" s="48"/>
      <c r="AE483" s="48">
        <v>85940</v>
      </c>
      <c r="AF483" s="48"/>
      <c r="AG483" s="48">
        <v>0</v>
      </c>
      <c r="AH483" s="19">
        <f t="shared" si="24"/>
        <v>202363</v>
      </c>
      <c r="AI483" s="48">
        <f t="shared" si="25"/>
        <v>202363</v>
      </c>
    </row>
    <row r="484" spans="1:35" x14ac:dyDescent="0.2">
      <c r="A484" s="1" t="s">
        <v>452</v>
      </c>
      <c r="C484" s="1" t="s">
        <v>450</v>
      </c>
      <c r="E484" s="48">
        <v>36135</v>
      </c>
      <c r="F484" s="48"/>
      <c r="G484" s="48">
        <v>0</v>
      </c>
      <c r="H484" s="48"/>
      <c r="I484" s="48">
        <v>12693</v>
      </c>
      <c r="J484" s="48"/>
      <c r="K484" s="48">
        <v>0</v>
      </c>
      <c r="L484" s="48"/>
      <c r="M484" s="48">
        <v>0</v>
      </c>
      <c r="N484" s="48"/>
      <c r="O484" s="48">
        <v>13291</v>
      </c>
      <c r="P484" s="48"/>
      <c r="Q484" s="48">
        <v>0</v>
      </c>
      <c r="R484" s="48"/>
      <c r="S484" s="48">
        <v>25915</v>
      </c>
      <c r="T484" s="48"/>
      <c r="U484" s="48">
        <v>0</v>
      </c>
      <c r="V484" s="48"/>
      <c r="W484" s="48">
        <v>0</v>
      </c>
      <c r="X484" s="48"/>
      <c r="Y484" s="48">
        <v>0</v>
      </c>
      <c r="Z484" s="48"/>
      <c r="AA484" s="48">
        <v>0</v>
      </c>
      <c r="AB484" s="48"/>
      <c r="AC484" s="48">
        <v>0</v>
      </c>
      <c r="AD484" s="48"/>
      <c r="AE484" s="48">
        <v>0</v>
      </c>
      <c r="AF484" s="48"/>
      <c r="AG484" s="48">
        <v>0</v>
      </c>
      <c r="AH484" s="19">
        <f t="shared" si="24"/>
        <v>88034</v>
      </c>
      <c r="AI484" s="48">
        <f t="shared" si="25"/>
        <v>88034</v>
      </c>
    </row>
    <row r="485" spans="1:35" x14ac:dyDescent="0.2">
      <c r="A485" s="1" t="s">
        <v>468</v>
      </c>
      <c r="C485" s="1" t="s">
        <v>469</v>
      </c>
      <c r="E485" s="48">
        <v>69905.929999999993</v>
      </c>
      <c r="F485" s="48"/>
      <c r="G485" s="48">
        <v>116156.08</v>
      </c>
      <c r="H485" s="48"/>
      <c r="I485" s="48">
        <v>132584.76</v>
      </c>
      <c r="J485" s="48"/>
      <c r="K485" s="48">
        <v>0</v>
      </c>
      <c r="L485" s="48"/>
      <c r="M485" s="48">
        <v>0</v>
      </c>
      <c r="N485" s="48"/>
      <c r="O485" s="48">
        <v>19761.5</v>
      </c>
      <c r="P485" s="48"/>
      <c r="Q485" s="48">
        <v>871.79</v>
      </c>
      <c r="R485" s="48"/>
      <c r="S485" s="48">
        <v>14240.23</v>
      </c>
      <c r="T485" s="48"/>
      <c r="U485" s="48">
        <v>0</v>
      </c>
      <c r="V485" s="48"/>
      <c r="W485" s="48">
        <v>0</v>
      </c>
      <c r="X485" s="48"/>
      <c r="Y485" s="48">
        <v>0</v>
      </c>
      <c r="Z485" s="48"/>
      <c r="AA485" s="48">
        <v>0</v>
      </c>
      <c r="AB485" s="48"/>
      <c r="AC485" s="48">
        <v>0</v>
      </c>
      <c r="AD485" s="48"/>
      <c r="AE485" s="48">
        <v>0</v>
      </c>
      <c r="AF485" s="48"/>
      <c r="AG485" s="48">
        <v>0</v>
      </c>
      <c r="AH485" s="19">
        <f t="shared" si="24"/>
        <v>353520.29</v>
      </c>
      <c r="AI485" s="48">
        <f t="shared" si="25"/>
        <v>353520.29</v>
      </c>
    </row>
    <row r="486" spans="1:35" x14ac:dyDescent="0.2">
      <c r="A486" s="1" t="s">
        <v>773</v>
      </c>
      <c r="C486" s="1" t="s">
        <v>554</v>
      </c>
      <c r="E486" s="48">
        <v>208544</v>
      </c>
      <c r="F486" s="48"/>
      <c r="G486" s="48">
        <v>389939</v>
      </c>
      <c r="H486" s="48"/>
      <c r="I486" s="48">
        <v>83037</v>
      </c>
      <c r="J486" s="48"/>
      <c r="K486" s="48">
        <v>0</v>
      </c>
      <c r="L486" s="48"/>
      <c r="M486" s="48">
        <v>49713</v>
      </c>
      <c r="N486" s="48"/>
      <c r="O486" s="48">
        <v>7444</v>
      </c>
      <c r="P486" s="48"/>
      <c r="Q486" s="48">
        <v>4171</v>
      </c>
      <c r="R486" s="48"/>
      <c r="S486" s="48">
        <v>70630</v>
      </c>
      <c r="T486" s="48"/>
      <c r="U486" s="48">
        <v>0</v>
      </c>
      <c r="V486" s="48"/>
      <c r="W486" s="48">
        <v>0</v>
      </c>
      <c r="X486" s="48"/>
      <c r="Y486" s="48">
        <v>0</v>
      </c>
      <c r="Z486" s="48"/>
      <c r="AA486" s="48">
        <v>0</v>
      </c>
      <c r="AB486" s="48"/>
      <c r="AC486" s="48">
        <v>0</v>
      </c>
      <c r="AD486" s="48"/>
      <c r="AE486" s="48">
        <v>0</v>
      </c>
      <c r="AF486" s="48"/>
      <c r="AG486" s="48">
        <v>0</v>
      </c>
      <c r="AH486" s="19">
        <f t="shared" si="24"/>
        <v>813478</v>
      </c>
      <c r="AI486" s="48">
        <f t="shared" si="25"/>
        <v>813478</v>
      </c>
    </row>
    <row r="487" spans="1:35" x14ac:dyDescent="0.2">
      <c r="A487" s="1" t="s">
        <v>427</v>
      </c>
      <c r="C487" s="1" t="s">
        <v>401</v>
      </c>
      <c r="E487" s="48">
        <v>66452.160000000003</v>
      </c>
      <c r="F487" s="48"/>
      <c r="G487" s="48">
        <v>1148567.3999999999</v>
      </c>
      <c r="H487" s="48"/>
      <c r="I487" s="48">
        <v>168001.27</v>
      </c>
      <c r="J487" s="48"/>
      <c r="K487" s="48">
        <v>0</v>
      </c>
      <c r="L487" s="48"/>
      <c r="M487" s="48">
        <v>253474.56</v>
      </c>
      <c r="N487" s="48"/>
      <c r="O487" s="48">
        <v>69268.289999999994</v>
      </c>
      <c r="P487" s="48"/>
      <c r="Q487" s="48">
        <v>8067.76</v>
      </c>
      <c r="R487" s="48"/>
      <c r="S487" s="48">
        <v>26414.17</v>
      </c>
      <c r="T487" s="48"/>
      <c r="U487" s="48">
        <v>0</v>
      </c>
      <c r="V487" s="48"/>
      <c r="W487" s="48">
        <v>0</v>
      </c>
      <c r="X487" s="48"/>
      <c r="Y487" s="48">
        <v>0</v>
      </c>
      <c r="Z487" s="48"/>
      <c r="AA487" s="48">
        <v>0</v>
      </c>
      <c r="AB487" s="48"/>
      <c r="AC487" s="48">
        <v>0</v>
      </c>
      <c r="AD487" s="48"/>
      <c r="AE487" s="48">
        <v>0</v>
      </c>
      <c r="AF487" s="48"/>
      <c r="AG487" s="48">
        <v>0</v>
      </c>
      <c r="AH487" s="19">
        <f t="shared" si="24"/>
        <v>1740245.6099999999</v>
      </c>
      <c r="AI487" s="48">
        <f t="shared" si="25"/>
        <v>1740245.6099999999</v>
      </c>
    </row>
    <row r="488" spans="1:35" x14ac:dyDescent="0.2">
      <c r="A488" s="1" t="s">
        <v>774</v>
      </c>
      <c r="C488" s="1" t="s">
        <v>285</v>
      </c>
      <c r="E488" s="48">
        <v>0</v>
      </c>
      <c r="F488" s="48"/>
      <c r="G488" s="48">
        <v>0</v>
      </c>
      <c r="H488" s="48"/>
      <c r="I488" s="48">
        <v>1628.58</v>
      </c>
      <c r="J488" s="48"/>
      <c r="K488" s="48">
        <v>0</v>
      </c>
      <c r="L488" s="48"/>
      <c r="M488" s="48">
        <v>0</v>
      </c>
      <c r="N488" s="48"/>
      <c r="O488" s="48">
        <v>0</v>
      </c>
      <c r="P488" s="48"/>
      <c r="Q488" s="48">
        <v>60.97</v>
      </c>
      <c r="R488" s="48"/>
      <c r="S488" s="48">
        <v>0</v>
      </c>
      <c r="T488" s="48"/>
      <c r="U488" s="48">
        <v>0</v>
      </c>
      <c r="V488" s="48"/>
      <c r="W488" s="48">
        <v>0</v>
      </c>
      <c r="X488" s="48"/>
      <c r="Y488" s="48">
        <v>0</v>
      </c>
      <c r="Z488" s="48"/>
      <c r="AA488" s="48">
        <v>0</v>
      </c>
      <c r="AB488" s="48"/>
      <c r="AC488" s="48">
        <v>0</v>
      </c>
      <c r="AD488" s="48"/>
      <c r="AE488" s="48">
        <v>0</v>
      </c>
      <c r="AF488" s="48"/>
      <c r="AG488" s="48">
        <v>0</v>
      </c>
      <c r="AH488" s="19">
        <f t="shared" si="24"/>
        <v>1689.55</v>
      </c>
      <c r="AI488" s="48">
        <f t="shared" si="25"/>
        <v>1689.55</v>
      </c>
    </row>
    <row r="489" spans="1:35" x14ac:dyDescent="0.2">
      <c r="A489" s="1" t="s">
        <v>150</v>
      </c>
      <c r="C489" s="1" t="s">
        <v>437</v>
      </c>
      <c r="E489" s="48">
        <v>21719.61</v>
      </c>
      <c r="F489" s="48"/>
      <c r="G489" s="48">
        <v>169193.71</v>
      </c>
      <c r="H489" s="48"/>
      <c r="I489" s="48">
        <v>76717.899999999994</v>
      </c>
      <c r="J489" s="48"/>
      <c r="K489" s="48">
        <v>125912.22</v>
      </c>
      <c r="L489" s="48"/>
      <c r="M489" s="48">
        <v>1449.7</v>
      </c>
      <c r="N489" s="48"/>
      <c r="O489" s="48">
        <v>11054.63</v>
      </c>
      <c r="P489" s="48"/>
      <c r="Q489" s="48">
        <v>1360.82</v>
      </c>
      <c r="R489" s="48"/>
      <c r="S489" s="48">
        <v>4376.42</v>
      </c>
      <c r="T489" s="48"/>
      <c r="U489" s="48">
        <v>0</v>
      </c>
      <c r="V489" s="48"/>
      <c r="W489" s="48">
        <v>0</v>
      </c>
      <c r="X489" s="48"/>
      <c r="Y489" s="48">
        <v>10500</v>
      </c>
      <c r="Z489" s="48"/>
      <c r="AA489" s="48">
        <v>0</v>
      </c>
      <c r="AB489" s="48"/>
      <c r="AC489" s="48">
        <v>0</v>
      </c>
      <c r="AD489" s="48"/>
      <c r="AE489" s="48">
        <v>0</v>
      </c>
      <c r="AF489" s="48"/>
      <c r="AG489" s="48">
        <v>0</v>
      </c>
      <c r="AH489" s="19">
        <f t="shared" si="24"/>
        <v>422285.00999999995</v>
      </c>
      <c r="AI489" s="48">
        <f t="shared" si="25"/>
        <v>422285.00999999995</v>
      </c>
    </row>
    <row r="490" spans="1:35" x14ac:dyDescent="0.2">
      <c r="A490" s="1" t="s">
        <v>227</v>
      </c>
      <c r="C490" s="1" t="s">
        <v>541</v>
      </c>
      <c r="E490" s="48">
        <v>2509.1799999999998</v>
      </c>
      <c r="F490" s="48"/>
      <c r="G490" s="48">
        <v>0</v>
      </c>
      <c r="H490" s="48"/>
      <c r="I490" s="48">
        <v>3977.95</v>
      </c>
      <c r="J490" s="48"/>
      <c r="K490" s="48">
        <v>0</v>
      </c>
      <c r="L490" s="48"/>
      <c r="M490" s="48">
        <v>0</v>
      </c>
      <c r="N490" s="48"/>
      <c r="O490" s="48">
        <v>0</v>
      </c>
      <c r="P490" s="48"/>
      <c r="Q490" s="48">
        <v>5.37</v>
      </c>
      <c r="R490" s="48"/>
      <c r="S490" s="48">
        <v>2877.3</v>
      </c>
      <c r="T490" s="48"/>
      <c r="U490" s="48">
        <v>0</v>
      </c>
      <c r="V490" s="48"/>
      <c r="W490" s="48">
        <v>0</v>
      </c>
      <c r="X490" s="48"/>
      <c r="Y490" s="48">
        <v>0</v>
      </c>
      <c r="Z490" s="48"/>
      <c r="AA490" s="48">
        <v>0</v>
      </c>
      <c r="AB490" s="48"/>
      <c r="AC490" s="48">
        <v>0</v>
      </c>
      <c r="AD490" s="48"/>
      <c r="AE490" s="48">
        <v>0</v>
      </c>
      <c r="AF490" s="48"/>
      <c r="AG490" s="48">
        <v>0</v>
      </c>
      <c r="AH490" s="19">
        <f t="shared" si="24"/>
        <v>9369.7999999999993</v>
      </c>
      <c r="AI490" s="48">
        <f t="shared" si="25"/>
        <v>9369.7999999999993</v>
      </c>
    </row>
    <row r="491" spans="1:35" x14ac:dyDescent="0.2">
      <c r="A491" s="1" t="s">
        <v>59</v>
      </c>
      <c r="C491" s="1" t="s">
        <v>327</v>
      </c>
      <c r="E491" s="48">
        <v>41725.03</v>
      </c>
      <c r="F491" s="48"/>
      <c r="G491" s="48">
        <v>2385.1799999999998</v>
      </c>
      <c r="H491" s="48"/>
      <c r="I491" s="48">
        <v>14777.04</v>
      </c>
      <c r="J491" s="48"/>
      <c r="K491" s="48">
        <v>131.41</v>
      </c>
      <c r="L491" s="48"/>
      <c r="M491" s="48">
        <v>17875.740000000002</v>
      </c>
      <c r="N491" s="48"/>
      <c r="O491" s="48">
        <v>5245.81</v>
      </c>
      <c r="P491" s="48"/>
      <c r="Q491" s="48">
        <v>0</v>
      </c>
      <c r="R491" s="48"/>
      <c r="S491" s="48">
        <v>562.4</v>
      </c>
      <c r="T491" s="48"/>
      <c r="U491" s="48">
        <v>0</v>
      </c>
      <c r="V491" s="48"/>
      <c r="W491" s="48">
        <v>0</v>
      </c>
      <c r="X491" s="48"/>
      <c r="Y491" s="48">
        <v>0</v>
      </c>
      <c r="Z491" s="48"/>
      <c r="AA491" s="48">
        <v>0</v>
      </c>
      <c r="AB491" s="48"/>
      <c r="AC491" s="48">
        <v>4918.75</v>
      </c>
      <c r="AD491" s="48"/>
      <c r="AE491" s="48">
        <v>0</v>
      </c>
      <c r="AF491" s="48"/>
      <c r="AG491" s="48">
        <v>0</v>
      </c>
      <c r="AH491" s="19">
        <f t="shared" si="24"/>
        <v>87621.36</v>
      </c>
      <c r="AI491" s="48">
        <f t="shared" si="25"/>
        <v>87621.36</v>
      </c>
    </row>
    <row r="492" spans="1:35" x14ac:dyDescent="0.2">
      <c r="A492" s="1" t="s">
        <v>194</v>
      </c>
      <c r="C492" s="1" t="s">
        <v>481</v>
      </c>
      <c r="E492" s="48">
        <v>159531.04</v>
      </c>
      <c r="F492" s="48"/>
      <c r="G492" s="48">
        <v>315742.65000000002</v>
      </c>
      <c r="H492" s="48"/>
      <c r="I492" s="48">
        <v>73055.42</v>
      </c>
      <c r="J492" s="48"/>
      <c r="K492" s="48">
        <v>0</v>
      </c>
      <c r="L492" s="48"/>
      <c r="M492" s="48">
        <v>0</v>
      </c>
      <c r="N492" s="48"/>
      <c r="O492" s="48">
        <v>32368.71</v>
      </c>
      <c r="P492" s="48"/>
      <c r="Q492" s="48">
        <v>1422.5</v>
      </c>
      <c r="R492" s="48"/>
      <c r="S492" s="48">
        <v>77370.28</v>
      </c>
      <c r="T492" s="48"/>
      <c r="U492" s="48">
        <v>0</v>
      </c>
      <c r="V492" s="48"/>
      <c r="W492" s="48">
        <v>0</v>
      </c>
      <c r="X492" s="48"/>
      <c r="Y492" s="48">
        <v>0</v>
      </c>
      <c r="Z492" s="48"/>
      <c r="AA492" s="48">
        <v>0</v>
      </c>
      <c r="AB492" s="48"/>
      <c r="AC492" s="48">
        <v>0</v>
      </c>
      <c r="AD492" s="48"/>
      <c r="AE492" s="48">
        <v>0</v>
      </c>
      <c r="AF492" s="48"/>
      <c r="AG492" s="48">
        <v>0</v>
      </c>
      <c r="AH492" s="19">
        <f t="shared" si="24"/>
        <v>659490.60000000009</v>
      </c>
      <c r="AI492" s="48">
        <f t="shared" si="25"/>
        <v>659490.60000000009</v>
      </c>
    </row>
    <row r="493" spans="1:35" x14ac:dyDescent="0.2">
      <c r="A493" s="1" t="s">
        <v>136</v>
      </c>
      <c r="C493" s="1" t="s">
        <v>429</v>
      </c>
      <c r="E493" s="48">
        <v>357853.36</v>
      </c>
      <c r="F493" s="48"/>
      <c r="G493" s="48">
        <v>0</v>
      </c>
      <c r="H493" s="48"/>
      <c r="I493" s="48">
        <v>127255.54</v>
      </c>
      <c r="J493" s="48"/>
      <c r="K493" s="48">
        <v>0</v>
      </c>
      <c r="L493" s="48"/>
      <c r="M493" s="48">
        <v>0</v>
      </c>
      <c r="N493" s="48"/>
      <c r="O493" s="48">
        <v>193140.31</v>
      </c>
      <c r="P493" s="48"/>
      <c r="Q493" s="48">
        <v>429.88</v>
      </c>
      <c r="R493" s="48"/>
      <c r="S493" s="48">
        <v>21176.59</v>
      </c>
      <c r="T493" s="48"/>
      <c r="U493" s="48">
        <v>0</v>
      </c>
      <c r="V493" s="48"/>
      <c r="W493" s="48">
        <v>0</v>
      </c>
      <c r="X493" s="48"/>
      <c r="Y493" s="48">
        <v>0</v>
      </c>
      <c r="Z493" s="48"/>
      <c r="AA493" s="48">
        <v>0</v>
      </c>
      <c r="AB493" s="48"/>
      <c r="AC493" s="48">
        <v>0</v>
      </c>
      <c r="AD493" s="48"/>
      <c r="AE493" s="48">
        <v>0</v>
      </c>
      <c r="AF493" s="48"/>
      <c r="AG493" s="48">
        <v>0</v>
      </c>
      <c r="AH493" s="19">
        <f t="shared" si="24"/>
        <v>699855.67999999993</v>
      </c>
      <c r="AI493" s="48">
        <f t="shared" si="25"/>
        <v>699855.67999999993</v>
      </c>
    </row>
    <row r="494" spans="1:35" x14ac:dyDescent="0.2">
      <c r="A494" s="1" t="s">
        <v>630</v>
      </c>
      <c r="C494" s="1" t="s">
        <v>848</v>
      </c>
      <c r="E494" s="48">
        <v>8865.33</v>
      </c>
      <c r="F494" s="48"/>
      <c r="G494" s="48">
        <v>0</v>
      </c>
      <c r="H494" s="48"/>
      <c r="I494" s="48">
        <v>16728.96</v>
      </c>
      <c r="J494" s="48"/>
      <c r="K494" s="48">
        <v>0</v>
      </c>
      <c r="L494" s="48"/>
      <c r="M494" s="48">
        <v>2420</v>
      </c>
      <c r="N494" s="48"/>
      <c r="O494" s="48">
        <v>130</v>
      </c>
      <c r="P494" s="48"/>
      <c r="Q494" s="48">
        <v>7.02</v>
      </c>
      <c r="R494" s="48"/>
      <c r="S494" s="48">
        <v>925.92</v>
      </c>
      <c r="T494" s="48"/>
      <c r="U494" s="48">
        <v>0</v>
      </c>
      <c r="V494" s="48"/>
      <c r="W494" s="48">
        <v>0</v>
      </c>
      <c r="X494" s="48"/>
      <c r="Y494" s="48">
        <v>0</v>
      </c>
      <c r="Z494" s="48"/>
      <c r="AA494" s="48">
        <v>0</v>
      </c>
      <c r="AB494" s="48"/>
      <c r="AC494" s="48">
        <v>0</v>
      </c>
      <c r="AD494" s="48"/>
      <c r="AE494" s="48">
        <v>0</v>
      </c>
      <c r="AF494" s="48"/>
      <c r="AG494" s="48">
        <v>0</v>
      </c>
      <c r="AH494" s="19">
        <f t="shared" si="24"/>
        <v>29077.23</v>
      </c>
      <c r="AI494" s="48">
        <f t="shared" si="25"/>
        <v>29077.23</v>
      </c>
    </row>
    <row r="495" spans="1:35" x14ac:dyDescent="0.2">
      <c r="A495" s="1" t="s">
        <v>775</v>
      </c>
      <c r="C495" s="1" t="s">
        <v>498</v>
      </c>
      <c r="E495" s="48">
        <v>10947</v>
      </c>
      <c r="F495" s="48"/>
      <c r="G495" s="48">
        <v>0</v>
      </c>
      <c r="H495" s="48"/>
      <c r="I495" s="48">
        <v>15575</v>
      </c>
      <c r="J495" s="48"/>
      <c r="K495" s="48">
        <v>0</v>
      </c>
      <c r="L495" s="48"/>
      <c r="M495" s="48">
        <v>4169</v>
      </c>
      <c r="N495" s="48"/>
      <c r="O495" s="48">
        <v>2193</v>
      </c>
      <c r="P495" s="48"/>
      <c r="Q495" s="48">
        <v>0</v>
      </c>
      <c r="R495" s="48"/>
      <c r="S495" s="48">
        <v>6180</v>
      </c>
      <c r="T495" s="48"/>
      <c r="U495" s="48">
        <v>0</v>
      </c>
      <c r="V495" s="48"/>
      <c r="W495" s="48">
        <v>0</v>
      </c>
      <c r="X495" s="48"/>
      <c r="Y495" s="48">
        <v>0</v>
      </c>
      <c r="Z495" s="48"/>
      <c r="AA495" s="48">
        <v>0</v>
      </c>
      <c r="AB495" s="48"/>
      <c r="AC495" s="48">
        <v>0</v>
      </c>
      <c r="AD495" s="48"/>
      <c r="AE495" s="48">
        <v>0</v>
      </c>
      <c r="AF495" s="48"/>
      <c r="AG495" s="48">
        <v>0</v>
      </c>
      <c r="AH495" s="19">
        <f t="shared" si="24"/>
        <v>39064</v>
      </c>
      <c r="AI495" s="48">
        <f t="shared" si="25"/>
        <v>39064</v>
      </c>
    </row>
    <row r="496" spans="1:35" x14ac:dyDescent="0.2">
      <c r="A496" s="1" t="s">
        <v>631</v>
      </c>
      <c r="C496" s="1" t="s">
        <v>521</v>
      </c>
      <c r="E496" s="48">
        <v>27027.85</v>
      </c>
      <c r="F496" s="48"/>
      <c r="G496" s="48">
        <v>0</v>
      </c>
      <c r="H496" s="48"/>
      <c r="I496" s="48">
        <v>18250.28</v>
      </c>
      <c r="J496" s="48"/>
      <c r="K496" s="48">
        <v>233.83</v>
      </c>
      <c r="L496" s="48"/>
      <c r="M496" s="48">
        <v>270</v>
      </c>
      <c r="N496" s="48"/>
      <c r="O496" s="48">
        <v>8041.6</v>
      </c>
      <c r="P496" s="48"/>
      <c r="Q496" s="48">
        <v>18.79</v>
      </c>
      <c r="R496" s="48"/>
      <c r="S496" s="48">
        <v>634.96</v>
      </c>
      <c r="T496" s="48"/>
      <c r="U496" s="48">
        <v>0</v>
      </c>
      <c r="V496" s="48"/>
      <c r="W496" s="48">
        <v>0</v>
      </c>
      <c r="X496" s="48"/>
      <c r="Y496" s="48">
        <v>0</v>
      </c>
      <c r="Z496" s="48"/>
      <c r="AA496" s="48">
        <v>0</v>
      </c>
      <c r="AB496" s="48"/>
      <c r="AC496" s="48">
        <v>0</v>
      </c>
      <c r="AD496" s="48"/>
      <c r="AE496" s="48">
        <v>0</v>
      </c>
      <c r="AF496" s="48"/>
      <c r="AG496" s="48">
        <v>0</v>
      </c>
      <c r="AH496" s="19">
        <f t="shared" si="24"/>
        <v>54477.31</v>
      </c>
      <c r="AI496" s="48">
        <f t="shared" si="25"/>
        <v>54477.31</v>
      </c>
    </row>
    <row r="497" spans="1:35" x14ac:dyDescent="0.2">
      <c r="A497" s="1" t="s">
        <v>281</v>
      </c>
      <c r="C497" s="1" t="s">
        <v>280</v>
      </c>
      <c r="E497" s="48">
        <v>20484.47</v>
      </c>
      <c r="F497" s="48"/>
      <c r="G497" s="48">
        <v>0</v>
      </c>
      <c r="H497" s="48"/>
      <c r="I497" s="48">
        <v>4668.72</v>
      </c>
      <c r="J497" s="48"/>
      <c r="K497" s="48">
        <v>0</v>
      </c>
      <c r="L497" s="48"/>
      <c r="M497" s="48">
        <v>3345.28</v>
      </c>
      <c r="N497" s="48"/>
      <c r="O497" s="48">
        <v>0</v>
      </c>
      <c r="P497" s="48"/>
      <c r="Q497" s="48">
        <v>9.4</v>
      </c>
      <c r="R497" s="48"/>
      <c r="S497" s="48">
        <v>6416.49</v>
      </c>
      <c r="T497" s="48"/>
      <c r="U497" s="48">
        <v>0</v>
      </c>
      <c r="V497" s="48"/>
      <c r="W497" s="48">
        <v>0</v>
      </c>
      <c r="X497" s="48"/>
      <c r="Y497" s="48">
        <v>0</v>
      </c>
      <c r="Z497" s="48"/>
      <c r="AA497" s="48">
        <v>0</v>
      </c>
      <c r="AB497" s="48"/>
      <c r="AC497" s="48">
        <v>0</v>
      </c>
      <c r="AD497" s="48"/>
      <c r="AE497" s="48">
        <v>0</v>
      </c>
      <c r="AF497" s="48"/>
      <c r="AG497" s="48">
        <v>0</v>
      </c>
      <c r="AH497" s="19">
        <f t="shared" si="24"/>
        <v>34924.36</v>
      </c>
      <c r="AI497" s="48">
        <f t="shared" si="25"/>
        <v>34924.36</v>
      </c>
    </row>
    <row r="498" spans="1:35" x14ac:dyDescent="0.2">
      <c r="A498" s="1" t="s">
        <v>241</v>
      </c>
      <c r="C498" s="1" t="s">
        <v>558</v>
      </c>
      <c r="E498" s="48">
        <v>11440.96</v>
      </c>
      <c r="F498" s="48"/>
      <c r="G498" s="48">
        <v>85770.82</v>
      </c>
      <c r="H498" s="48"/>
      <c r="I498" s="48">
        <v>5330.15</v>
      </c>
      <c r="J498" s="48"/>
      <c r="K498" s="48">
        <v>0</v>
      </c>
      <c r="L498" s="48"/>
      <c r="M498" s="48">
        <v>160</v>
      </c>
      <c r="N498" s="48"/>
      <c r="O498" s="48">
        <v>3666.04</v>
      </c>
      <c r="P498" s="48"/>
      <c r="Q498" s="48">
        <v>27.25</v>
      </c>
      <c r="R498" s="48"/>
      <c r="S498" s="48">
        <v>359.13</v>
      </c>
      <c r="T498" s="48"/>
      <c r="U498" s="48">
        <v>0</v>
      </c>
      <c r="V498" s="48"/>
      <c r="W498" s="48">
        <v>0</v>
      </c>
      <c r="X498" s="48"/>
      <c r="Y498" s="48">
        <v>0</v>
      </c>
      <c r="Z498" s="48"/>
      <c r="AA498" s="48">
        <v>0</v>
      </c>
      <c r="AB498" s="48"/>
      <c r="AC498" s="48">
        <v>0</v>
      </c>
      <c r="AD498" s="48"/>
      <c r="AE498" s="48">
        <v>0</v>
      </c>
      <c r="AF498" s="48"/>
      <c r="AG498" s="48">
        <v>0</v>
      </c>
      <c r="AH498" s="19">
        <f t="shared" si="24"/>
        <v>106754.34999999999</v>
      </c>
      <c r="AI498" s="48">
        <f t="shared" si="25"/>
        <v>106754.34999999999</v>
      </c>
    </row>
    <row r="499" spans="1:35" x14ac:dyDescent="0.2">
      <c r="A499" s="1" t="s">
        <v>438</v>
      </c>
      <c r="C499" s="1" t="s">
        <v>437</v>
      </c>
      <c r="E499" s="48">
        <v>8802.6200000000008</v>
      </c>
      <c r="F499" s="48"/>
      <c r="G499" s="48">
        <v>0</v>
      </c>
      <c r="H499" s="48"/>
      <c r="I499" s="48">
        <v>15523.13</v>
      </c>
      <c r="J499" s="48"/>
      <c r="K499" s="48">
        <v>0</v>
      </c>
      <c r="L499" s="48"/>
      <c r="M499" s="48">
        <v>0</v>
      </c>
      <c r="N499" s="48"/>
      <c r="O499" s="48">
        <v>1298.4000000000001</v>
      </c>
      <c r="P499" s="48"/>
      <c r="Q499" s="48">
        <v>20.38</v>
      </c>
      <c r="R499" s="48"/>
      <c r="S499" s="48">
        <v>534.22</v>
      </c>
      <c r="T499" s="48"/>
      <c r="U499" s="48">
        <v>0</v>
      </c>
      <c r="V499" s="48"/>
      <c r="W499" s="48">
        <v>0</v>
      </c>
      <c r="X499" s="48"/>
      <c r="Y499" s="48">
        <v>0</v>
      </c>
      <c r="Z499" s="48"/>
      <c r="AA499" s="48">
        <v>0</v>
      </c>
      <c r="AB499" s="48"/>
      <c r="AC499" s="48">
        <v>0</v>
      </c>
      <c r="AD499" s="48"/>
      <c r="AE499" s="48">
        <v>0</v>
      </c>
      <c r="AF499" s="48"/>
      <c r="AG499" s="48">
        <v>0</v>
      </c>
      <c r="AH499" s="19">
        <f t="shared" si="24"/>
        <v>26178.750000000004</v>
      </c>
      <c r="AI499" s="48">
        <f t="shared" si="25"/>
        <v>26178.750000000004</v>
      </c>
    </row>
    <row r="500" spans="1:35" x14ac:dyDescent="0.2">
      <c r="A500" s="1" t="s">
        <v>19</v>
      </c>
      <c r="C500" s="1" t="s">
        <v>261</v>
      </c>
      <c r="E500" s="48">
        <v>40344.92</v>
      </c>
      <c r="F500" s="48"/>
      <c r="G500" s="48">
        <v>149423.89000000001</v>
      </c>
      <c r="H500" s="48"/>
      <c r="I500" s="48">
        <v>79246.58</v>
      </c>
      <c r="J500" s="48"/>
      <c r="K500" s="48">
        <v>0</v>
      </c>
      <c r="L500" s="48"/>
      <c r="M500" s="48">
        <v>0</v>
      </c>
      <c r="N500" s="48"/>
      <c r="O500" s="48">
        <v>13132.33</v>
      </c>
      <c r="P500" s="48"/>
      <c r="Q500" s="48">
        <v>1222.04</v>
      </c>
      <c r="R500" s="48"/>
      <c r="S500" s="48">
        <v>23661.33</v>
      </c>
      <c r="T500" s="48"/>
      <c r="U500" s="48">
        <v>0</v>
      </c>
      <c r="V500" s="48"/>
      <c r="W500" s="48">
        <v>0</v>
      </c>
      <c r="X500" s="48"/>
      <c r="Y500" s="48">
        <v>0</v>
      </c>
      <c r="Z500" s="48"/>
      <c r="AA500" s="48">
        <v>0</v>
      </c>
      <c r="AB500" s="48"/>
      <c r="AC500" s="48">
        <v>0</v>
      </c>
      <c r="AD500" s="48"/>
      <c r="AE500" s="48">
        <v>0</v>
      </c>
      <c r="AF500" s="48"/>
      <c r="AG500" s="48">
        <v>0</v>
      </c>
      <c r="AH500" s="19">
        <f t="shared" si="24"/>
        <v>307031.09000000003</v>
      </c>
      <c r="AI500" s="48">
        <f t="shared" si="25"/>
        <v>307031.09000000003</v>
      </c>
    </row>
    <row r="501" spans="1:35" x14ac:dyDescent="0.2">
      <c r="A501" s="1" t="s">
        <v>119</v>
      </c>
      <c r="C501" s="1" t="s">
        <v>406</v>
      </c>
      <c r="E501" s="48">
        <v>29050.62</v>
      </c>
      <c r="F501" s="48"/>
      <c r="G501" s="48">
        <v>0</v>
      </c>
      <c r="H501" s="48"/>
      <c r="I501" s="48">
        <v>13073.64</v>
      </c>
      <c r="J501" s="48"/>
      <c r="K501" s="48">
        <v>0</v>
      </c>
      <c r="L501" s="48"/>
      <c r="M501" s="48">
        <v>0</v>
      </c>
      <c r="N501" s="48"/>
      <c r="O501" s="48">
        <v>130226</v>
      </c>
      <c r="P501" s="48"/>
      <c r="Q501" s="48">
        <v>0</v>
      </c>
      <c r="R501" s="48"/>
      <c r="S501" s="48">
        <v>42206.99</v>
      </c>
      <c r="T501" s="48"/>
      <c r="U501" s="48">
        <v>0</v>
      </c>
      <c r="V501" s="48"/>
      <c r="W501" s="48">
        <v>0</v>
      </c>
      <c r="X501" s="48"/>
      <c r="Y501" s="48">
        <v>0</v>
      </c>
      <c r="Z501" s="48"/>
      <c r="AA501" s="48">
        <v>0</v>
      </c>
      <c r="AB501" s="48"/>
      <c r="AC501" s="48">
        <v>0</v>
      </c>
      <c r="AD501" s="48"/>
      <c r="AE501" s="48">
        <v>0</v>
      </c>
      <c r="AF501" s="48"/>
      <c r="AG501" s="48">
        <v>0</v>
      </c>
      <c r="AH501" s="19">
        <f t="shared" si="24"/>
        <v>214557.25</v>
      </c>
      <c r="AI501" s="48">
        <f t="shared" si="25"/>
        <v>214557.25</v>
      </c>
    </row>
    <row r="502" spans="1:35" x14ac:dyDescent="0.2">
      <c r="A502" s="1" t="s">
        <v>140</v>
      </c>
      <c r="C502" s="1" t="s">
        <v>430</v>
      </c>
      <c r="E502" s="48">
        <v>64165.19</v>
      </c>
      <c r="F502" s="48"/>
      <c r="G502" s="48">
        <v>0</v>
      </c>
      <c r="H502" s="48"/>
      <c r="I502" s="48">
        <v>18180.23</v>
      </c>
      <c r="J502" s="48"/>
      <c r="K502" s="48">
        <v>8240</v>
      </c>
      <c r="L502" s="48"/>
      <c r="M502" s="48">
        <v>0</v>
      </c>
      <c r="N502" s="48"/>
      <c r="O502" s="48">
        <v>700</v>
      </c>
      <c r="P502" s="48"/>
      <c r="Q502" s="48">
        <v>844.7</v>
      </c>
      <c r="R502" s="48"/>
      <c r="S502" s="48">
        <v>3311.7</v>
      </c>
      <c r="T502" s="48"/>
      <c r="U502" s="48">
        <v>0</v>
      </c>
      <c r="V502" s="48"/>
      <c r="W502" s="48">
        <v>0</v>
      </c>
      <c r="X502" s="48"/>
      <c r="Y502" s="48">
        <v>0</v>
      </c>
      <c r="Z502" s="48"/>
      <c r="AA502" s="48">
        <v>0</v>
      </c>
      <c r="AB502" s="48"/>
      <c r="AC502" s="48">
        <v>0</v>
      </c>
      <c r="AD502" s="48"/>
      <c r="AE502" s="48">
        <v>0</v>
      </c>
      <c r="AF502" s="48"/>
      <c r="AG502" s="48">
        <v>0</v>
      </c>
      <c r="AH502" s="19">
        <f t="shared" si="24"/>
        <v>95441.819999999992</v>
      </c>
      <c r="AI502" s="48">
        <f t="shared" si="25"/>
        <v>95441.819999999992</v>
      </c>
    </row>
    <row r="503" spans="1:35" x14ac:dyDescent="0.2">
      <c r="A503" s="1" t="s">
        <v>167</v>
      </c>
      <c r="C503" s="1" t="s">
        <v>192</v>
      </c>
      <c r="E503" s="48">
        <v>820717.63</v>
      </c>
      <c r="F503" s="48"/>
      <c r="G503" s="48">
        <v>0</v>
      </c>
      <c r="H503" s="48"/>
      <c r="I503" s="48">
        <v>119318.26</v>
      </c>
      <c r="J503" s="48"/>
      <c r="K503" s="48">
        <v>0</v>
      </c>
      <c r="L503" s="48"/>
      <c r="M503" s="48">
        <v>568461.39</v>
      </c>
      <c r="N503" s="48"/>
      <c r="O503" s="48">
        <v>66321.77</v>
      </c>
      <c r="P503" s="48"/>
      <c r="Q503" s="48">
        <v>13551.62</v>
      </c>
      <c r="R503" s="48"/>
      <c r="S503" s="48">
        <v>119899.61</v>
      </c>
      <c r="T503" s="48"/>
      <c r="U503" s="48">
        <v>0</v>
      </c>
      <c r="V503" s="48"/>
      <c r="W503" s="48">
        <v>0</v>
      </c>
      <c r="X503" s="48"/>
      <c r="Y503" s="48">
        <v>0</v>
      </c>
      <c r="Z503" s="48"/>
      <c r="AA503" s="48">
        <v>975.74</v>
      </c>
      <c r="AB503" s="48"/>
      <c r="AC503" s="48">
        <v>34388</v>
      </c>
      <c r="AD503" s="48"/>
      <c r="AE503" s="48">
        <v>0</v>
      </c>
      <c r="AF503" s="48"/>
      <c r="AG503" s="48">
        <v>0</v>
      </c>
      <c r="AH503" s="19">
        <f t="shared" si="24"/>
        <v>1743634.0200000003</v>
      </c>
      <c r="AI503" s="48">
        <f t="shared" si="25"/>
        <v>1743634.0200000003</v>
      </c>
    </row>
    <row r="504" spans="1:35" x14ac:dyDescent="0.2">
      <c r="A504" s="1" t="s">
        <v>84</v>
      </c>
      <c r="C504" s="1" t="s">
        <v>349</v>
      </c>
      <c r="E504" s="48">
        <v>9747.9699999999993</v>
      </c>
      <c r="F504" s="48"/>
      <c r="G504" s="48">
        <v>0</v>
      </c>
      <c r="H504" s="48"/>
      <c r="I504" s="48">
        <v>10779.84</v>
      </c>
      <c r="J504" s="48"/>
      <c r="K504" s="48">
        <v>0</v>
      </c>
      <c r="L504" s="48"/>
      <c r="M504" s="48">
        <v>1275</v>
      </c>
      <c r="N504" s="48"/>
      <c r="O504" s="48">
        <v>0</v>
      </c>
      <c r="P504" s="48"/>
      <c r="Q504" s="48">
        <v>161.5</v>
      </c>
      <c r="R504" s="48"/>
      <c r="S504" s="48">
        <v>153557.35</v>
      </c>
      <c r="T504" s="48"/>
      <c r="U504" s="48">
        <v>0</v>
      </c>
      <c r="V504" s="48"/>
      <c r="W504" s="48">
        <v>0</v>
      </c>
      <c r="X504" s="48"/>
      <c r="Y504" s="48">
        <v>0</v>
      </c>
      <c r="Z504" s="48"/>
      <c r="AA504" s="48">
        <v>0</v>
      </c>
      <c r="AB504" s="48"/>
      <c r="AC504" s="48">
        <v>0</v>
      </c>
      <c r="AD504" s="48"/>
      <c r="AE504" s="48">
        <v>0</v>
      </c>
      <c r="AF504" s="48"/>
      <c r="AG504" s="48">
        <v>0</v>
      </c>
      <c r="AH504" s="19">
        <f t="shared" ref="AH504:AH537" si="26">SUM(D504:AF504)</f>
        <v>175521.66</v>
      </c>
      <c r="AI504" s="48">
        <f t="shared" ref="AI504:AI537" si="27">SUM(E504:AG504)</f>
        <v>175521.66</v>
      </c>
    </row>
    <row r="505" spans="1:35" x14ac:dyDescent="0.2">
      <c r="A505" s="1" t="s">
        <v>125</v>
      </c>
      <c r="C505" s="1" t="s">
        <v>414</v>
      </c>
      <c r="E505" s="48">
        <v>14399.04</v>
      </c>
      <c r="F505" s="48"/>
      <c r="G505" s="48">
        <v>60932.42</v>
      </c>
      <c r="H505" s="48"/>
      <c r="I505" s="48">
        <v>19734.78</v>
      </c>
      <c r="J505" s="48"/>
      <c r="K505" s="48">
        <v>0</v>
      </c>
      <c r="L505" s="48"/>
      <c r="M505" s="48">
        <v>6005</v>
      </c>
      <c r="N505" s="48"/>
      <c r="O505" s="48">
        <v>3543.6</v>
      </c>
      <c r="P505" s="48"/>
      <c r="Q505" s="48">
        <v>295.38</v>
      </c>
      <c r="R505" s="48"/>
      <c r="S505" s="48">
        <v>11114.01</v>
      </c>
      <c r="T505" s="48"/>
      <c r="U505" s="48">
        <v>0</v>
      </c>
      <c r="V505" s="48"/>
      <c r="W505" s="48">
        <v>0</v>
      </c>
      <c r="X505" s="48"/>
      <c r="Y505" s="48">
        <v>0</v>
      </c>
      <c r="Z505" s="48"/>
      <c r="AA505" s="48">
        <v>0</v>
      </c>
      <c r="AB505" s="48"/>
      <c r="AC505" s="48">
        <v>0</v>
      </c>
      <c r="AD505" s="48"/>
      <c r="AE505" s="48">
        <v>0</v>
      </c>
      <c r="AF505" s="48"/>
      <c r="AG505" s="48">
        <v>19.73</v>
      </c>
      <c r="AH505" s="19">
        <f t="shared" si="26"/>
        <v>116024.23</v>
      </c>
      <c r="AI505" s="48">
        <f t="shared" si="27"/>
        <v>116043.95999999999</v>
      </c>
    </row>
    <row r="506" spans="1:35" x14ac:dyDescent="0.2">
      <c r="A506" s="1" t="s">
        <v>146</v>
      </c>
      <c r="C506" s="1" t="s">
        <v>431</v>
      </c>
      <c r="E506" s="48">
        <v>60624.480000000003</v>
      </c>
      <c r="F506" s="48"/>
      <c r="G506" s="48">
        <v>0</v>
      </c>
      <c r="H506" s="48"/>
      <c r="I506" s="48">
        <v>25672.26</v>
      </c>
      <c r="J506" s="48"/>
      <c r="K506" s="48">
        <v>0</v>
      </c>
      <c r="L506" s="48"/>
      <c r="M506" s="48">
        <v>0</v>
      </c>
      <c r="N506" s="48"/>
      <c r="O506" s="48">
        <v>2317</v>
      </c>
      <c r="P506" s="48"/>
      <c r="Q506" s="48">
        <v>81.92</v>
      </c>
      <c r="R506" s="48"/>
      <c r="S506" s="48">
        <v>34819</v>
      </c>
      <c r="T506" s="48"/>
      <c r="U506" s="48">
        <v>0</v>
      </c>
      <c r="V506" s="48"/>
      <c r="W506" s="48">
        <v>0</v>
      </c>
      <c r="X506" s="48"/>
      <c r="Y506" s="48">
        <v>0</v>
      </c>
      <c r="Z506" s="48"/>
      <c r="AA506" s="48">
        <v>0</v>
      </c>
      <c r="AB506" s="48"/>
      <c r="AC506" s="48">
        <v>0</v>
      </c>
      <c r="AD506" s="48"/>
      <c r="AE506" s="48">
        <v>0</v>
      </c>
      <c r="AF506" s="48"/>
      <c r="AG506" s="48">
        <v>0</v>
      </c>
      <c r="AH506" s="19">
        <f t="shared" si="26"/>
        <v>123514.66</v>
      </c>
      <c r="AI506" s="48">
        <f t="shared" si="27"/>
        <v>123514.66</v>
      </c>
    </row>
    <row r="507" spans="1:35" x14ac:dyDescent="0.2">
      <c r="A507" s="1" t="s">
        <v>492</v>
      </c>
      <c r="C507" s="1" t="s">
        <v>491</v>
      </c>
      <c r="E507" s="48">
        <v>0</v>
      </c>
      <c r="F507" s="48"/>
      <c r="G507" s="48">
        <v>0</v>
      </c>
      <c r="H507" s="48"/>
      <c r="I507" s="48">
        <v>0</v>
      </c>
      <c r="J507" s="48"/>
      <c r="K507" s="48">
        <v>0</v>
      </c>
      <c r="L507" s="48"/>
      <c r="M507" s="48">
        <v>0</v>
      </c>
      <c r="N507" s="48"/>
      <c r="O507" s="48">
        <v>0</v>
      </c>
      <c r="P507" s="48"/>
      <c r="Q507" s="48">
        <v>0</v>
      </c>
      <c r="R507" s="48"/>
      <c r="S507" s="48">
        <v>32822</v>
      </c>
      <c r="T507" s="48"/>
      <c r="U507" s="48">
        <v>0</v>
      </c>
      <c r="V507" s="48"/>
      <c r="W507" s="48">
        <v>0</v>
      </c>
      <c r="X507" s="48"/>
      <c r="Y507" s="48">
        <v>0</v>
      </c>
      <c r="Z507" s="48"/>
      <c r="AA507" s="48">
        <v>0</v>
      </c>
      <c r="AB507" s="48"/>
      <c r="AC507" s="48">
        <v>0</v>
      </c>
      <c r="AD507" s="48"/>
      <c r="AE507" s="48">
        <v>0</v>
      </c>
      <c r="AF507" s="48"/>
      <c r="AG507" s="48">
        <v>0</v>
      </c>
      <c r="AH507" s="19">
        <f t="shared" si="26"/>
        <v>32822</v>
      </c>
      <c r="AI507" s="48">
        <f t="shared" si="27"/>
        <v>32822</v>
      </c>
    </row>
    <row r="508" spans="1:35" x14ac:dyDescent="0.2">
      <c r="A508" s="1" t="s">
        <v>362</v>
      </c>
      <c r="C508" s="1" t="s">
        <v>360</v>
      </c>
      <c r="E508" s="48">
        <v>10955.68</v>
      </c>
      <c r="F508" s="48"/>
      <c r="G508" s="48">
        <v>0</v>
      </c>
      <c r="H508" s="48"/>
      <c r="I508" s="48">
        <v>31209.43</v>
      </c>
      <c r="J508" s="48"/>
      <c r="K508" s="48">
        <v>0</v>
      </c>
      <c r="L508" s="48"/>
      <c r="M508" s="48">
        <v>275</v>
      </c>
      <c r="N508" s="48"/>
      <c r="O508" s="48">
        <v>0</v>
      </c>
      <c r="P508" s="48"/>
      <c r="Q508" s="48">
        <v>24.13</v>
      </c>
      <c r="R508" s="48"/>
      <c r="S508" s="48">
        <v>1439.02</v>
      </c>
      <c r="T508" s="48"/>
      <c r="U508" s="48">
        <v>0</v>
      </c>
      <c r="V508" s="48"/>
      <c r="W508" s="48">
        <v>0</v>
      </c>
      <c r="X508" s="48"/>
      <c r="Y508" s="48">
        <v>0</v>
      </c>
      <c r="Z508" s="48"/>
      <c r="AA508" s="48">
        <v>0</v>
      </c>
      <c r="AB508" s="48"/>
      <c r="AC508" s="48">
        <v>0</v>
      </c>
      <c r="AD508" s="48"/>
      <c r="AE508" s="48">
        <v>0</v>
      </c>
      <c r="AF508" s="48"/>
      <c r="AG508" s="48">
        <v>0</v>
      </c>
      <c r="AH508" s="19">
        <f t="shared" si="26"/>
        <v>43903.259999999995</v>
      </c>
      <c r="AI508" s="48">
        <f t="shared" si="27"/>
        <v>43903.259999999995</v>
      </c>
    </row>
    <row r="509" spans="1:35" x14ac:dyDescent="0.2">
      <c r="A509" s="1" t="s">
        <v>819</v>
      </c>
      <c r="C509" s="1" t="s">
        <v>688</v>
      </c>
      <c r="E509" s="48">
        <v>45560</v>
      </c>
      <c r="F509" s="48"/>
      <c r="G509" s="48">
        <v>0</v>
      </c>
      <c r="H509" s="48"/>
      <c r="I509" s="48">
        <v>16362</v>
      </c>
      <c r="J509" s="48"/>
      <c r="K509" s="48">
        <v>0</v>
      </c>
      <c r="L509" s="48"/>
      <c r="M509" s="48">
        <v>2333</v>
      </c>
      <c r="N509" s="48"/>
      <c r="O509" s="48">
        <v>6685</v>
      </c>
      <c r="P509" s="48"/>
      <c r="Q509" s="48">
        <v>0</v>
      </c>
      <c r="R509" s="48"/>
      <c r="S509" s="48">
        <v>11511</v>
      </c>
      <c r="T509" s="48"/>
      <c r="U509" s="48">
        <v>0</v>
      </c>
      <c r="V509" s="48"/>
      <c r="W509" s="48">
        <v>0</v>
      </c>
      <c r="X509" s="48"/>
      <c r="Y509" s="48">
        <v>10</v>
      </c>
      <c r="Z509" s="48"/>
      <c r="AA509" s="48">
        <v>12227</v>
      </c>
      <c r="AB509" s="48"/>
      <c r="AC509" s="48">
        <v>0</v>
      </c>
      <c r="AD509" s="48"/>
      <c r="AE509" s="48">
        <v>0</v>
      </c>
      <c r="AF509" s="48"/>
      <c r="AG509" s="48">
        <v>0</v>
      </c>
      <c r="AH509" s="19">
        <f t="shared" si="26"/>
        <v>94688</v>
      </c>
      <c r="AI509" s="48">
        <f t="shared" si="27"/>
        <v>94688</v>
      </c>
    </row>
    <row r="510" spans="1:35" x14ac:dyDescent="0.2">
      <c r="A510" s="1" t="s">
        <v>213</v>
      </c>
      <c r="C510" s="1" t="s">
        <v>511</v>
      </c>
      <c r="E510" s="48">
        <v>288651.53999999998</v>
      </c>
      <c r="F510" s="48"/>
      <c r="G510" s="48">
        <v>1063903.47</v>
      </c>
      <c r="H510" s="48"/>
      <c r="I510" s="48">
        <v>76698.880000000005</v>
      </c>
      <c r="J510" s="48"/>
      <c r="K510" s="48">
        <v>0</v>
      </c>
      <c r="L510" s="48"/>
      <c r="M510" s="48">
        <v>10813.75</v>
      </c>
      <c r="N510" s="48"/>
      <c r="O510" s="48">
        <v>268400.88</v>
      </c>
      <c r="P510" s="48"/>
      <c r="Q510" s="48">
        <v>1127.78</v>
      </c>
      <c r="R510" s="48"/>
      <c r="S510" s="48">
        <v>593760.31000000006</v>
      </c>
      <c r="T510" s="48"/>
      <c r="U510" s="48">
        <v>0</v>
      </c>
      <c r="V510" s="48"/>
      <c r="W510" s="48">
        <v>0</v>
      </c>
      <c r="X510" s="48"/>
      <c r="Y510" s="48">
        <v>0</v>
      </c>
      <c r="Z510" s="48"/>
      <c r="AA510" s="48">
        <v>182605</v>
      </c>
      <c r="AB510" s="48"/>
      <c r="AC510" s="48">
        <v>25000</v>
      </c>
      <c r="AD510" s="48"/>
      <c r="AE510" s="48">
        <v>0</v>
      </c>
      <c r="AF510" s="48"/>
      <c r="AG510" s="48">
        <v>32043.03</v>
      </c>
      <c r="AH510" s="19">
        <f t="shared" si="26"/>
        <v>2510961.6100000003</v>
      </c>
      <c r="AI510" s="48">
        <f t="shared" si="27"/>
        <v>2543004.64</v>
      </c>
    </row>
    <row r="511" spans="1:35" x14ac:dyDescent="0.2">
      <c r="A511" s="1" t="s">
        <v>840</v>
      </c>
      <c r="C511" s="1" t="s">
        <v>464</v>
      </c>
      <c r="E511" s="48">
        <v>179.71</v>
      </c>
      <c r="F511" s="48"/>
      <c r="G511" s="48">
        <v>0</v>
      </c>
      <c r="H511" s="48"/>
      <c r="I511" s="48">
        <v>3690.66</v>
      </c>
      <c r="J511" s="48"/>
      <c r="K511" s="48">
        <v>0</v>
      </c>
      <c r="L511" s="48"/>
      <c r="M511" s="48">
        <v>0</v>
      </c>
      <c r="N511" s="48"/>
      <c r="O511" s="48">
        <v>0</v>
      </c>
      <c r="P511" s="48"/>
      <c r="Q511" s="48">
        <v>7.32</v>
      </c>
      <c r="R511" s="48"/>
      <c r="S511" s="48">
        <v>1610.59</v>
      </c>
      <c r="T511" s="48"/>
      <c r="U511" s="48">
        <v>0</v>
      </c>
      <c r="V511" s="48"/>
      <c r="W511" s="48">
        <v>0</v>
      </c>
      <c r="X511" s="48"/>
      <c r="Y511" s="48">
        <v>0</v>
      </c>
      <c r="Z511" s="48"/>
      <c r="AA511" s="48">
        <v>0</v>
      </c>
      <c r="AB511" s="48"/>
      <c r="AC511" s="48">
        <v>0</v>
      </c>
      <c r="AD511" s="48"/>
      <c r="AE511" s="48">
        <v>0</v>
      </c>
      <c r="AF511" s="48"/>
      <c r="AG511" s="48">
        <v>0</v>
      </c>
      <c r="AH511" s="19">
        <f t="shared" si="26"/>
        <v>5488.28</v>
      </c>
      <c r="AI511" s="48">
        <f t="shared" si="27"/>
        <v>5488.28</v>
      </c>
    </row>
    <row r="512" spans="1:35" x14ac:dyDescent="0.2">
      <c r="A512" s="1" t="s">
        <v>496</v>
      </c>
      <c r="C512" s="1" t="s">
        <v>494</v>
      </c>
      <c r="E512" s="48">
        <v>17817.96</v>
      </c>
      <c r="F512" s="48"/>
      <c r="G512" s="48">
        <v>0</v>
      </c>
      <c r="H512" s="48"/>
      <c r="I512" s="48">
        <v>36930.800000000003</v>
      </c>
      <c r="J512" s="48"/>
      <c r="K512" s="48">
        <v>0</v>
      </c>
      <c r="L512" s="48"/>
      <c r="M512" s="48">
        <v>6150</v>
      </c>
      <c r="N512" s="48"/>
      <c r="O512" s="48">
        <v>5290.98</v>
      </c>
      <c r="P512" s="48"/>
      <c r="Q512" s="48">
        <v>2151.14</v>
      </c>
      <c r="R512" s="48"/>
      <c r="S512" s="48">
        <v>14562.59</v>
      </c>
      <c r="T512" s="48"/>
      <c r="U512" s="48">
        <v>0</v>
      </c>
      <c r="V512" s="48"/>
      <c r="W512" s="48">
        <v>0</v>
      </c>
      <c r="X512" s="48"/>
      <c r="Y512" s="48">
        <v>0</v>
      </c>
      <c r="Z512" s="48"/>
      <c r="AA512" s="48">
        <v>1928.79</v>
      </c>
      <c r="AB512" s="48"/>
      <c r="AC512" s="48">
        <v>0</v>
      </c>
      <c r="AD512" s="48"/>
      <c r="AE512" s="48">
        <v>0</v>
      </c>
      <c r="AF512" s="48"/>
      <c r="AG512" s="48">
        <v>173.68</v>
      </c>
      <c r="AH512" s="19">
        <f t="shared" si="26"/>
        <v>84832.26</v>
      </c>
      <c r="AI512" s="48">
        <f t="shared" si="27"/>
        <v>85005.939999999988</v>
      </c>
    </row>
    <row r="513" spans="1:35" x14ac:dyDescent="0.2">
      <c r="A513" s="1" t="s">
        <v>514</v>
      </c>
      <c r="C513" s="1" t="s">
        <v>511</v>
      </c>
      <c r="E513" s="48">
        <v>454909</v>
      </c>
      <c r="F513" s="48"/>
      <c r="G513" s="48">
        <v>0</v>
      </c>
      <c r="H513" s="48"/>
      <c r="I513" s="48">
        <v>235092</v>
      </c>
      <c r="J513" s="48"/>
      <c r="K513" s="48">
        <v>0</v>
      </c>
      <c r="L513" s="48"/>
      <c r="M513" s="48">
        <v>1232942</v>
      </c>
      <c r="N513" s="48"/>
      <c r="O513" s="48">
        <v>134735</v>
      </c>
      <c r="P513" s="48"/>
      <c r="Q513" s="48">
        <v>17887</v>
      </c>
      <c r="R513" s="48"/>
      <c r="S513" s="48">
        <f>19226+51755+54388</f>
        <v>125369</v>
      </c>
      <c r="T513" s="48"/>
      <c r="U513" s="48">
        <v>0</v>
      </c>
      <c r="V513" s="48"/>
      <c r="W513" s="48">
        <v>0</v>
      </c>
      <c r="X513" s="48"/>
      <c r="Y513" s="48">
        <v>0</v>
      </c>
      <c r="Z513" s="48"/>
      <c r="AA513" s="48">
        <v>3454708</v>
      </c>
      <c r="AB513" s="48"/>
      <c r="AC513" s="48">
        <v>0</v>
      </c>
      <c r="AD513" s="48"/>
      <c r="AE513" s="48">
        <v>0</v>
      </c>
      <c r="AF513" s="48"/>
      <c r="AG513" s="48">
        <v>0</v>
      </c>
      <c r="AH513" s="19">
        <f t="shared" si="26"/>
        <v>5655642</v>
      </c>
      <c r="AI513" s="48">
        <f t="shared" si="27"/>
        <v>5655642</v>
      </c>
    </row>
    <row r="514" spans="1:35" x14ac:dyDescent="0.2">
      <c r="A514" s="1" t="s">
        <v>113</v>
      </c>
      <c r="C514" s="1" t="s">
        <v>390</v>
      </c>
      <c r="E514" s="48">
        <v>18832.919999999998</v>
      </c>
      <c r="F514" s="48"/>
      <c r="G514" s="48">
        <v>0</v>
      </c>
      <c r="H514" s="48"/>
      <c r="I514" s="48">
        <v>74896.850000000006</v>
      </c>
      <c r="J514" s="48"/>
      <c r="K514" s="48">
        <v>0</v>
      </c>
      <c r="L514" s="48"/>
      <c r="M514" s="48">
        <v>9120</v>
      </c>
      <c r="N514" s="48"/>
      <c r="O514" s="48">
        <v>200</v>
      </c>
      <c r="P514" s="48"/>
      <c r="Q514" s="48">
        <v>4.1100000000000003</v>
      </c>
      <c r="R514" s="48"/>
      <c r="S514" s="48">
        <v>20235</v>
      </c>
      <c r="T514" s="48"/>
      <c r="U514" s="48">
        <v>0</v>
      </c>
      <c r="V514" s="48"/>
      <c r="W514" s="48">
        <v>0</v>
      </c>
      <c r="X514" s="48"/>
      <c r="Y514" s="48">
        <v>0</v>
      </c>
      <c r="Z514" s="48"/>
      <c r="AA514" s="48">
        <v>0</v>
      </c>
      <c r="AB514" s="48"/>
      <c r="AC514" s="48">
        <v>0</v>
      </c>
      <c r="AD514" s="48"/>
      <c r="AE514" s="48">
        <v>1379.32</v>
      </c>
      <c r="AF514" s="48"/>
      <c r="AG514" s="48">
        <v>0</v>
      </c>
      <c r="AH514" s="19">
        <f t="shared" si="26"/>
        <v>124668.20000000001</v>
      </c>
      <c r="AI514" s="48">
        <f t="shared" si="27"/>
        <v>124668.20000000001</v>
      </c>
    </row>
    <row r="515" spans="1:35" x14ac:dyDescent="0.2">
      <c r="A515" s="1" t="s">
        <v>371</v>
      </c>
      <c r="C515" s="1" t="s">
        <v>366</v>
      </c>
      <c r="E515" s="48">
        <v>4397.24</v>
      </c>
      <c r="F515" s="48"/>
      <c r="G515" s="48">
        <v>23956.39</v>
      </c>
      <c r="H515" s="48"/>
      <c r="I515" s="48">
        <v>4766.75</v>
      </c>
      <c r="J515" s="48"/>
      <c r="K515" s="48">
        <v>0</v>
      </c>
      <c r="L515" s="48"/>
      <c r="M515" s="48">
        <v>0</v>
      </c>
      <c r="N515" s="48"/>
      <c r="O515" s="48">
        <v>1746.66</v>
      </c>
      <c r="P515" s="48"/>
      <c r="Q515" s="48">
        <v>15.24</v>
      </c>
      <c r="R515" s="48"/>
      <c r="S515" s="48">
        <v>0</v>
      </c>
      <c r="T515" s="48"/>
      <c r="U515" s="48">
        <v>0</v>
      </c>
      <c r="V515" s="48"/>
      <c r="W515" s="48">
        <v>0</v>
      </c>
      <c r="X515" s="48"/>
      <c r="Y515" s="48">
        <v>0</v>
      </c>
      <c r="Z515" s="48"/>
      <c r="AA515" s="48">
        <v>0</v>
      </c>
      <c r="AB515" s="48"/>
      <c r="AC515" s="48">
        <v>1000</v>
      </c>
      <c r="AD515" s="48"/>
      <c r="AE515" s="48">
        <v>484.02</v>
      </c>
      <c r="AF515" s="48"/>
      <c r="AG515" s="48">
        <v>0</v>
      </c>
      <c r="AH515" s="19">
        <f t="shared" si="26"/>
        <v>36366.299999999996</v>
      </c>
      <c r="AI515" s="48">
        <f t="shared" si="27"/>
        <v>36366.299999999996</v>
      </c>
    </row>
    <row r="516" spans="1:35" x14ac:dyDescent="0.2">
      <c r="A516" s="1" t="s">
        <v>76</v>
      </c>
      <c r="C516" s="1" t="s">
        <v>338</v>
      </c>
      <c r="E516" s="48">
        <v>673.59</v>
      </c>
      <c r="F516" s="48"/>
      <c r="G516" s="48">
        <v>204209.2</v>
      </c>
      <c r="H516" s="48"/>
      <c r="I516" s="48">
        <v>45300.4</v>
      </c>
      <c r="J516" s="48"/>
      <c r="K516" s="48">
        <v>0</v>
      </c>
      <c r="L516" s="48"/>
      <c r="M516" s="48">
        <v>34382.28</v>
      </c>
      <c r="N516" s="48"/>
      <c r="O516" s="48">
        <v>25211.89</v>
      </c>
      <c r="P516" s="48"/>
      <c r="Q516" s="48">
        <v>38.17</v>
      </c>
      <c r="R516" s="48"/>
      <c r="S516" s="48">
        <v>8170.9</v>
      </c>
      <c r="T516" s="48"/>
      <c r="U516" s="48">
        <v>0</v>
      </c>
      <c r="V516" s="48"/>
      <c r="W516" s="48">
        <v>0</v>
      </c>
      <c r="X516" s="48"/>
      <c r="Y516" s="48">
        <v>0</v>
      </c>
      <c r="Z516" s="48"/>
      <c r="AA516" s="48">
        <v>0</v>
      </c>
      <c r="AB516" s="48"/>
      <c r="AC516" s="48">
        <v>0</v>
      </c>
      <c r="AD516" s="48"/>
      <c r="AE516" s="48">
        <v>0</v>
      </c>
      <c r="AF516" s="48"/>
      <c r="AG516" s="48">
        <v>0</v>
      </c>
      <c r="AH516" s="19">
        <f t="shared" si="26"/>
        <v>317986.43</v>
      </c>
      <c r="AI516" s="48">
        <f t="shared" si="27"/>
        <v>317986.43</v>
      </c>
    </row>
    <row r="517" spans="1:35" x14ac:dyDescent="0.2">
      <c r="A517" s="1" t="s">
        <v>266</v>
      </c>
      <c r="C517" s="1" t="s">
        <v>265</v>
      </c>
      <c r="E517" s="48">
        <v>20787.38</v>
      </c>
      <c r="F517" s="48"/>
      <c r="G517" s="48">
        <v>195237.22</v>
      </c>
      <c r="H517" s="48"/>
      <c r="I517" s="48">
        <v>18893.97</v>
      </c>
      <c r="J517" s="48"/>
      <c r="K517" s="48">
        <v>15291.28</v>
      </c>
      <c r="L517" s="48"/>
      <c r="M517" s="48">
        <v>25182.720000000001</v>
      </c>
      <c r="N517" s="48"/>
      <c r="O517" s="48">
        <v>52759.64</v>
      </c>
      <c r="P517" s="48"/>
      <c r="Q517" s="48">
        <v>15228.62</v>
      </c>
      <c r="R517" s="48"/>
      <c r="S517" s="48">
        <v>105963.76</v>
      </c>
      <c r="T517" s="48"/>
      <c r="U517" s="48">
        <v>0</v>
      </c>
      <c r="V517" s="48"/>
      <c r="W517" s="48">
        <v>0</v>
      </c>
      <c r="X517" s="48"/>
      <c r="Y517" s="48">
        <v>0</v>
      </c>
      <c r="Z517" s="48"/>
      <c r="AA517" s="48">
        <v>0</v>
      </c>
      <c r="AB517" s="48"/>
      <c r="AC517" s="48">
        <v>0</v>
      </c>
      <c r="AD517" s="48"/>
      <c r="AE517" s="48">
        <v>0</v>
      </c>
      <c r="AF517" s="48"/>
      <c r="AG517" s="48">
        <v>0</v>
      </c>
      <c r="AH517" s="19">
        <f t="shared" si="26"/>
        <v>449344.59</v>
      </c>
      <c r="AI517" s="48">
        <f t="shared" si="27"/>
        <v>449344.59</v>
      </c>
    </row>
    <row r="518" spans="1:35" x14ac:dyDescent="0.2">
      <c r="A518" s="1" t="s">
        <v>242</v>
      </c>
      <c r="C518" s="1" t="s">
        <v>558</v>
      </c>
      <c r="E518" s="48">
        <v>53326.38</v>
      </c>
      <c r="F518" s="48"/>
      <c r="G518" s="48">
        <v>0</v>
      </c>
      <c r="H518" s="48"/>
      <c r="I518" s="48">
        <v>12780.25</v>
      </c>
      <c r="J518" s="48"/>
      <c r="K518" s="48">
        <v>0</v>
      </c>
      <c r="L518" s="48"/>
      <c r="M518" s="48">
        <v>0</v>
      </c>
      <c r="N518" s="48"/>
      <c r="O518" s="48">
        <v>38278.339999999997</v>
      </c>
      <c r="P518" s="48"/>
      <c r="Q518" s="48">
        <v>444.36</v>
      </c>
      <c r="R518" s="48"/>
      <c r="S518" s="48">
        <v>4669.16</v>
      </c>
      <c r="T518" s="48"/>
      <c r="U518" s="48">
        <v>0</v>
      </c>
      <c r="V518" s="48"/>
      <c r="W518" s="48">
        <v>0</v>
      </c>
      <c r="X518" s="48"/>
      <c r="Y518" s="48">
        <v>0</v>
      </c>
      <c r="Z518" s="48"/>
      <c r="AA518" s="48">
        <v>0</v>
      </c>
      <c r="AB518" s="48"/>
      <c r="AC518" s="48">
        <v>5000</v>
      </c>
      <c r="AD518" s="48"/>
      <c r="AE518" s="48">
        <v>0</v>
      </c>
      <c r="AF518" s="48"/>
      <c r="AG518" s="48">
        <v>0</v>
      </c>
      <c r="AH518" s="19">
        <f t="shared" si="26"/>
        <v>114498.49</v>
      </c>
      <c r="AI518" s="48">
        <f t="shared" si="27"/>
        <v>114498.49</v>
      </c>
    </row>
    <row r="519" spans="1:35" x14ac:dyDescent="0.2">
      <c r="A519" s="1" t="s">
        <v>330</v>
      </c>
      <c r="C519" s="1" t="s">
        <v>329</v>
      </c>
      <c r="E519" s="48">
        <v>154559</v>
      </c>
      <c r="F519" s="48"/>
      <c r="G519" s="48">
        <v>0</v>
      </c>
      <c r="H519" s="48"/>
      <c r="I519" s="48">
        <v>37318</v>
      </c>
      <c r="J519" s="48"/>
      <c r="K519" s="48">
        <v>0</v>
      </c>
      <c r="L519" s="48"/>
      <c r="M519" s="48">
        <v>0</v>
      </c>
      <c r="N519" s="48"/>
      <c r="O519" s="48">
        <v>8407</v>
      </c>
      <c r="P519" s="48"/>
      <c r="Q519" s="48">
        <v>1023</v>
      </c>
      <c r="R519" s="48"/>
      <c r="S519" s="48">
        <v>228</v>
      </c>
      <c r="T519" s="48"/>
      <c r="U519" s="48">
        <v>0</v>
      </c>
      <c r="V519" s="48"/>
      <c r="W519" s="48">
        <v>0</v>
      </c>
      <c r="X519" s="48"/>
      <c r="Y519" s="48">
        <v>0</v>
      </c>
      <c r="Z519" s="48"/>
      <c r="AA519" s="48">
        <v>0</v>
      </c>
      <c r="AB519" s="48"/>
      <c r="AC519" s="48">
        <v>79000</v>
      </c>
      <c r="AD519" s="48"/>
      <c r="AE519" s="48">
        <v>0</v>
      </c>
      <c r="AF519" s="48"/>
      <c r="AG519" s="48">
        <v>0</v>
      </c>
      <c r="AH519" s="19">
        <f t="shared" si="26"/>
        <v>280535</v>
      </c>
      <c r="AI519" s="48">
        <f t="shared" si="27"/>
        <v>280535</v>
      </c>
    </row>
    <row r="520" spans="1:35" x14ac:dyDescent="0.2">
      <c r="A520" s="1" t="s">
        <v>623</v>
      </c>
      <c r="C520" s="1" t="s">
        <v>624</v>
      </c>
      <c r="E520" s="48">
        <v>126938</v>
      </c>
      <c r="F520" s="48"/>
      <c r="G520" s="48">
        <v>0</v>
      </c>
      <c r="H520" s="48"/>
      <c r="I520" s="48">
        <v>42401</v>
      </c>
      <c r="J520" s="48"/>
      <c r="K520" s="48">
        <v>0</v>
      </c>
      <c r="L520" s="48"/>
      <c r="M520" s="48">
        <v>0</v>
      </c>
      <c r="N520" s="48"/>
      <c r="O520" s="48">
        <v>6009</v>
      </c>
      <c r="P520" s="48"/>
      <c r="Q520" s="48">
        <v>2235</v>
      </c>
      <c r="R520" s="48"/>
      <c r="S520" s="48">
        <v>12875</v>
      </c>
      <c r="T520" s="48"/>
      <c r="U520" s="48">
        <v>0</v>
      </c>
      <c r="V520" s="48"/>
      <c r="W520" s="48">
        <v>7707</v>
      </c>
      <c r="X520" s="48"/>
      <c r="Y520" s="48">
        <v>1000</v>
      </c>
      <c r="Z520" s="48"/>
      <c r="AA520" s="48">
        <v>9336</v>
      </c>
      <c r="AB520" s="48"/>
      <c r="AC520" s="48">
        <v>0</v>
      </c>
      <c r="AD520" s="48"/>
      <c r="AE520" s="48">
        <v>0</v>
      </c>
      <c r="AF520" s="48"/>
      <c r="AG520" s="48">
        <v>0</v>
      </c>
      <c r="AH520" s="19">
        <f t="shared" si="26"/>
        <v>208501</v>
      </c>
      <c r="AI520" s="48">
        <f t="shared" si="27"/>
        <v>208501</v>
      </c>
    </row>
    <row r="521" spans="1:35" x14ac:dyDescent="0.2">
      <c r="A521" s="1" t="s">
        <v>129</v>
      </c>
      <c r="C521" s="1" t="s">
        <v>419</v>
      </c>
      <c r="E521" s="48">
        <v>10847.46</v>
      </c>
      <c r="F521" s="48"/>
      <c r="G521" s="48">
        <v>0</v>
      </c>
      <c r="H521" s="48"/>
      <c r="I521" s="48">
        <v>13836.5</v>
      </c>
      <c r="J521" s="48"/>
      <c r="K521" s="48">
        <v>0</v>
      </c>
      <c r="L521" s="48"/>
      <c r="M521" s="48">
        <v>0</v>
      </c>
      <c r="N521" s="48"/>
      <c r="O521" s="48">
        <v>90</v>
      </c>
      <c r="P521" s="48"/>
      <c r="Q521" s="48">
        <v>576.77</v>
      </c>
      <c r="R521" s="48"/>
      <c r="S521" s="48">
        <v>0</v>
      </c>
      <c r="T521" s="48"/>
      <c r="U521" s="48">
        <v>0</v>
      </c>
      <c r="V521" s="48"/>
      <c r="W521" s="48">
        <v>0</v>
      </c>
      <c r="X521" s="48"/>
      <c r="Y521" s="48">
        <v>0</v>
      </c>
      <c r="Z521" s="48"/>
      <c r="AA521" s="48">
        <v>0</v>
      </c>
      <c r="AB521" s="48"/>
      <c r="AC521" s="48">
        <v>0</v>
      </c>
      <c r="AD521" s="48"/>
      <c r="AE521" s="48">
        <v>0</v>
      </c>
      <c r="AF521" s="48"/>
      <c r="AG521" s="48">
        <v>0</v>
      </c>
      <c r="AH521" s="19">
        <f t="shared" si="26"/>
        <v>25350.73</v>
      </c>
      <c r="AI521" s="48">
        <f t="shared" si="27"/>
        <v>25350.73</v>
      </c>
    </row>
    <row r="522" spans="1:35" x14ac:dyDescent="0.2">
      <c r="A522" s="1" t="s">
        <v>625</v>
      </c>
      <c r="C522" s="1" t="s">
        <v>624</v>
      </c>
      <c r="E522" s="48">
        <v>24825.16</v>
      </c>
      <c r="F522" s="48"/>
      <c r="G522" s="48">
        <v>76993.05</v>
      </c>
      <c r="H522" s="48"/>
      <c r="I522" s="48">
        <v>25840.21</v>
      </c>
      <c r="J522" s="48"/>
      <c r="K522" s="48">
        <v>0</v>
      </c>
      <c r="L522" s="48"/>
      <c r="M522" s="48">
        <v>0</v>
      </c>
      <c r="N522" s="48"/>
      <c r="O522" s="48">
        <v>230</v>
      </c>
      <c r="P522" s="48"/>
      <c r="Q522" s="48">
        <v>283.88</v>
      </c>
      <c r="R522" s="48"/>
      <c r="S522" s="48">
        <v>4962.87</v>
      </c>
      <c r="T522" s="48"/>
      <c r="U522" s="48">
        <v>0</v>
      </c>
      <c r="V522" s="48"/>
      <c r="W522" s="48">
        <v>0</v>
      </c>
      <c r="X522" s="48"/>
      <c r="Y522" s="48">
        <v>0</v>
      </c>
      <c r="Z522" s="48"/>
      <c r="AA522" s="48">
        <v>0</v>
      </c>
      <c r="AB522" s="48"/>
      <c r="AC522" s="48">
        <v>0</v>
      </c>
      <c r="AD522" s="48"/>
      <c r="AE522" s="48">
        <v>0</v>
      </c>
      <c r="AF522" s="48"/>
      <c r="AG522" s="48">
        <v>0</v>
      </c>
      <c r="AH522" s="19">
        <f t="shared" si="26"/>
        <v>133135.17000000001</v>
      </c>
      <c r="AI522" s="48">
        <f t="shared" si="27"/>
        <v>133135.17000000001</v>
      </c>
    </row>
    <row r="523" spans="1:35" x14ac:dyDescent="0.2">
      <c r="A523" s="1" t="s">
        <v>435</v>
      </c>
      <c r="C523" s="1" t="s">
        <v>433</v>
      </c>
      <c r="E523" s="48">
        <v>49982.79</v>
      </c>
      <c r="F523" s="48"/>
      <c r="G523" s="48">
        <v>255931.65</v>
      </c>
      <c r="H523" s="48"/>
      <c r="I523" s="48">
        <v>32658.77</v>
      </c>
      <c r="J523" s="48"/>
      <c r="K523" s="48">
        <v>0</v>
      </c>
      <c r="L523" s="48"/>
      <c r="M523" s="48">
        <v>0</v>
      </c>
      <c r="N523" s="48"/>
      <c r="O523" s="48">
        <v>21244.1</v>
      </c>
      <c r="P523" s="48"/>
      <c r="Q523" s="48">
        <v>886.23</v>
      </c>
      <c r="R523" s="48"/>
      <c r="S523" s="48">
        <v>13138.5</v>
      </c>
      <c r="T523" s="48"/>
      <c r="U523" s="48">
        <v>0</v>
      </c>
      <c r="V523" s="48"/>
      <c r="W523" s="48">
        <v>0</v>
      </c>
      <c r="X523" s="48"/>
      <c r="Y523" s="48">
        <v>0</v>
      </c>
      <c r="Z523" s="48"/>
      <c r="AA523" s="48">
        <v>2800</v>
      </c>
      <c r="AB523" s="48"/>
      <c r="AC523" s="48">
        <v>0</v>
      </c>
      <c r="AD523" s="48"/>
      <c r="AE523" s="48">
        <v>0</v>
      </c>
      <c r="AF523" s="48"/>
      <c r="AG523" s="48">
        <v>0</v>
      </c>
      <c r="AH523" s="19">
        <f t="shared" si="26"/>
        <v>376642.04</v>
      </c>
      <c r="AI523" s="48">
        <f t="shared" si="27"/>
        <v>376642.04</v>
      </c>
    </row>
    <row r="524" spans="1:35" x14ac:dyDescent="0.2">
      <c r="A524" s="1" t="s">
        <v>701</v>
      </c>
      <c r="C524" s="1" t="s">
        <v>192</v>
      </c>
      <c r="E524" s="48">
        <v>8372.2000000000007</v>
      </c>
      <c r="F524" s="48"/>
      <c r="G524" s="48">
        <v>0</v>
      </c>
      <c r="H524" s="48"/>
      <c r="I524" s="48">
        <v>12534.09</v>
      </c>
      <c r="J524" s="48"/>
      <c r="K524" s="48">
        <v>0</v>
      </c>
      <c r="L524" s="48"/>
      <c r="M524" s="48">
        <v>1140</v>
      </c>
      <c r="N524" s="48"/>
      <c r="O524" s="48">
        <v>1489.07</v>
      </c>
      <c r="P524" s="48"/>
      <c r="Q524" s="48">
        <v>3.63</v>
      </c>
      <c r="R524" s="48"/>
      <c r="S524" s="48">
        <v>25298.16</v>
      </c>
      <c r="T524" s="48"/>
      <c r="U524" s="48">
        <v>0</v>
      </c>
      <c r="V524" s="48"/>
      <c r="W524" s="48">
        <v>0</v>
      </c>
      <c r="X524" s="48"/>
      <c r="Y524" s="48">
        <v>0</v>
      </c>
      <c r="Z524" s="48"/>
      <c r="AA524" s="48">
        <v>4000</v>
      </c>
      <c r="AB524" s="48"/>
      <c r="AC524" s="48">
        <v>0</v>
      </c>
      <c r="AD524" s="48"/>
      <c r="AE524" s="48">
        <v>0</v>
      </c>
      <c r="AF524" s="48"/>
      <c r="AG524" s="48">
        <v>0</v>
      </c>
      <c r="AH524" s="19">
        <f t="shared" si="26"/>
        <v>52837.15</v>
      </c>
      <c r="AI524" s="48">
        <f t="shared" si="27"/>
        <v>52837.15</v>
      </c>
    </row>
    <row r="525" spans="1:35" x14ac:dyDescent="0.2">
      <c r="A525" s="1" t="s">
        <v>43</v>
      </c>
      <c r="C525" s="1" t="s">
        <v>283</v>
      </c>
      <c r="E525" s="48">
        <v>12445.44</v>
      </c>
      <c r="F525" s="48"/>
      <c r="G525" s="48">
        <v>0</v>
      </c>
      <c r="H525" s="48"/>
      <c r="I525" s="48">
        <v>16886.02</v>
      </c>
      <c r="J525" s="48"/>
      <c r="K525" s="48">
        <v>0</v>
      </c>
      <c r="L525" s="48"/>
      <c r="M525" s="48">
        <v>0</v>
      </c>
      <c r="N525" s="48"/>
      <c r="O525" s="48">
        <v>0</v>
      </c>
      <c r="P525" s="48"/>
      <c r="Q525" s="48">
        <v>0</v>
      </c>
      <c r="R525" s="48"/>
      <c r="S525" s="48">
        <v>1992.68</v>
      </c>
      <c r="T525" s="48"/>
      <c r="U525" s="48">
        <v>0</v>
      </c>
      <c r="V525" s="48"/>
      <c r="W525" s="48">
        <v>0</v>
      </c>
      <c r="X525" s="48"/>
      <c r="Y525" s="48">
        <v>0</v>
      </c>
      <c r="Z525" s="48"/>
      <c r="AA525" s="48">
        <v>0</v>
      </c>
      <c r="AB525" s="48"/>
      <c r="AC525" s="48">
        <v>0</v>
      </c>
      <c r="AD525" s="48"/>
      <c r="AE525" s="48">
        <v>0</v>
      </c>
      <c r="AF525" s="48"/>
      <c r="AG525" s="48">
        <v>0</v>
      </c>
      <c r="AH525" s="19">
        <f t="shared" si="26"/>
        <v>31324.14</v>
      </c>
      <c r="AI525" s="48">
        <f t="shared" si="27"/>
        <v>31324.14</v>
      </c>
    </row>
    <row r="526" spans="1:35" x14ac:dyDescent="0.2">
      <c r="A526" s="1" t="s">
        <v>702</v>
      </c>
      <c r="C526" s="1" t="s">
        <v>616</v>
      </c>
      <c r="E526" s="48">
        <v>3481</v>
      </c>
      <c r="F526" s="48"/>
      <c r="G526" s="48">
        <v>0</v>
      </c>
      <c r="H526" s="48"/>
      <c r="I526" s="48">
        <v>1017</v>
      </c>
      <c r="J526" s="48"/>
      <c r="K526" s="48">
        <v>0</v>
      </c>
      <c r="L526" s="48"/>
      <c r="M526" s="48">
        <v>0</v>
      </c>
      <c r="N526" s="48"/>
      <c r="O526" s="48">
        <v>0</v>
      </c>
      <c r="P526" s="48"/>
      <c r="Q526" s="48">
        <v>107</v>
      </c>
      <c r="R526" s="48"/>
      <c r="S526" s="48">
        <v>0</v>
      </c>
      <c r="T526" s="48"/>
      <c r="U526" s="48">
        <v>0</v>
      </c>
      <c r="V526" s="48"/>
      <c r="W526" s="48">
        <v>0</v>
      </c>
      <c r="X526" s="48"/>
      <c r="Y526" s="48">
        <v>0</v>
      </c>
      <c r="Z526" s="48"/>
      <c r="AA526" s="48">
        <v>0</v>
      </c>
      <c r="AB526" s="48"/>
      <c r="AC526" s="48">
        <v>0</v>
      </c>
      <c r="AD526" s="48"/>
      <c r="AE526" s="48">
        <v>0</v>
      </c>
      <c r="AF526" s="48"/>
      <c r="AG526" s="48">
        <v>0</v>
      </c>
      <c r="AH526" s="19">
        <f t="shared" si="26"/>
        <v>4605</v>
      </c>
      <c r="AI526" s="48">
        <f t="shared" si="27"/>
        <v>4605</v>
      </c>
    </row>
    <row r="527" spans="1:35" x14ac:dyDescent="0.2">
      <c r="A527" s="1" t="s">
        <v>453</v>
      </c>
      <c r="C527" s="1" t="s">
        <v>450</v>
      </c>
      <c r="E527" s="48">
        <v>52608.88</v>
      </c>
      <c r="F527" s="48"/>
      <c r="G527" s="48">
        <v>0</v>
      </c>
      <c r="H527" s="48"/>
      <c r="I527" s="48">
        <v>105143.97</v>
      </c>
      <c r="J527" s="48"/>
      <c r="K527" s="48">
        <v>0</v>
      </c>
      <c r="L527" s="48"/>
      <c r="M527" s="48">
        <v>0</v>
      </c>
      <c r="N527" s="48"/>
      <c r="O527" s="48">
        <v>19085.259999999998</v>
      </c>
      <c r="P527" s="48"/>
      <c r="Q527" s="48">
        <v>1274.21</v>
      </c>
      <c r="R527" s="48"/>
      <c r="S527" s="48">
        <v>2689.52</v>
      </c>
      <c r="T527" s="48"/>
      <c r="U527" s="48">
        <v>0</v>
      </c>
      <c r="V527" s="48"/>
      <c r="W527" s="48">
        <v>0</v>
      </c>
      <c r="X527" s="48"/>
      <c r="Y527" s="48">
        <v>0</v>
      </c>
      <c r="Z527" s="48"/>
      <c r="AA527" s="48">
        <v>45444.89</v>
      </c>
      <c r="AB527" s="48"/>
      <c r="AC527" s="48">
        <v>0</v>
      </c>
      <c r="AD527" s="48"/>
      <c r="AE527" s="48">
        <v>0</v>
      </c>
      <c r="AF527" s="48"/>
      <c r="AG527" s="48">
        <v>0</v>
      </c>
      <c r="AH527" s="19">
        <f t="shared" si="26"/>
        <v>226246.72999999998</v>
      </c>
      <c r="AI527" s="48">
        <f t="shared" si="27"/>
        <v>226246.72999999998</v>
      </c>
    </row>
    <row r="528" spans="1:35" x14ac:dyDescent="0.2">
      <c r="A528" s="1" t="s">
        <v>313</v>
      </c>
      <c r="C528" s="1" t="s">
        <v>306</v>
      </c>
      <c r="E528" s="48">
        <v>8819</v>
      </c>
      <c r="F528" s="48"/>
      <c r="G528" s="48">
        <v>0</v>
      </c>
      <c r="H528" s="48"/>
      <c r="I528" s="48">
        <v>16829</v>
      </c>
      <c r="J528" s="48"/>
      <c r="K528" s="48">
        <v>0</v>
      </c>
      <c r="L528" s="48"/>
      <c r="M528" s="48">
        <v>0</v>
      </c>
      <c r="N528" s="48"/>
      <c r="O528" s="48">
        <v>0</v>
      </c>
      <c r="P528" s="48"/>
      <c r="Q528" s="48">
        <v>31</v>
      </c>
      <c r="R528" s="48"/>
      <c r="S528" s="48">
        <v>238</v>
      </c>
      <c r="T528" s="48"/>
      <c r="U528" s="48">
        <v>0</v>
      </c>
      <c r="V528" s="48"/>
      <c r="W528" s="48">
        <v>0</v>
      </c>
      <c r="X528" s="48"/>
      <c r="Y528" s="48">
        <v>0</v>
      </c>
      <c r="Z528" s="48"/>
      <c r="AA528" s="48">
        <v>0</v>
      </c>
      <c r="AB528" s="48"/>
      <c r="AC528" s="48">
        <v>0</v>
      </c>
      <c r="AD528" s="48"/>
      <c r="AE528" s="48">
        <v>0</v>
      </c>
      <c r="AF528" s="48"/>
      <c r="AG528" s="48">
        <v>0</v>
      </c>
      <c r="AH528" s="19">
        <f t="shared" si="26"/>
        <v>25917</v>
      </c>
      <c r="AI528" s="48">
        <f t="shared" si="27"/>
        <v>25917</v>
      </c>
    </row>
    <row r="529" spans="1:35" x14ac:dyDescent="0.2">
      <c r="A529" s="1" t="s">
        <v>776</v>
      </c>
      <c r="C529" s="1" t="s">
        <v>521</v>
      </c>
      <c r="E529" s="48">
        <v>10768.38</v>
      </c>
      <c r="F529" s="48"/>
      <c r="G529" s="48">
        <v>18212.48</v>
      </c>
      <c r="H529" s="48"/>
      <c r="I529" s="48">
        <v>5322.99</v>
      </c>
      <c r="J529" s="48"/>
      <c r="K529" s="48">
        <v>0</v>
      </c>
      <c r="L529" s="48"/>
      <c r="M529" s="48">
        <v>0</v>
      </c>
      <c r="N529" s="48"/>
      <c r="O529" s="48">
        <v>1127</v>
      </c>
      <c r="P529" s="48"/>
      <c r="Q529" s="48">
        <v>3.46</v>
      </c>
      <c r="R529" s="48"/>
      <c r="S529" s="48">
        <v>12771.01</v>
      </c>
      <c r="T529" s="48"/>
      <c r="U529" s="48">
        <v>0</v>
      </c>
      <c r="V529" s="48"/>
      <c r="W529" s="48">
        <v>0</v>
      </c>
      <c r="X529" s="48"/>
      <c r="Y529" s="48">
        <v>0</v>
      </c>
      <c r="Z529" s="48"/>
      <c r="AA529" s="48">
        <v>0</v>
      </c>
      <c r="AB529" s="48"/>
      <c r="AC529" s="48">
        <v>0</v>
      </c>
      <c r="AD529" s="48"/>
      <c r="AE529" s="48">
        <v>0</v>
      </c>
      <c r="AF529" s="48"/>
      <c r="AG529" s="48">
        <v>0</v>
      </c>
      <c r="AH529" s="19">
        <f t="shared" si="26"/>
        <v>48205.32</v>
      </c>
      <c r="AI529" s="48">
        <f t="shared" si="27"/>
        <v>48205.32</v>
      </c>
    </row>
    <row r="530" spans="1:35" x14ac:dyDescent="0.2">
      <c r="A530" s="1" t="s">
        <v>725</v>
      </c>
      <c r="C530" s="1" t="s">
        <v>414</v>
      </c>
      <c r="E530" s="48">
        <v>60260.97</v>
      </c>
      <c r="F530" s="48"/>
      <c r="G530" s="48">
        <v>0</v>
      </c>
      <c r="H530" s="48"/>
      <c r="I530" s="48">
        <v>44817.49</v>
      </c>
      <c r="J530" s="48"/>
      <c r="K530" s="48">
        <v>0</v>
      </c>
      <c r="L530" s="48"/>
      <c r="M530" s="48">
        <v>0</v>
      </c>
      <c r="N530" s="48"/>
      <c r="O530" s="48">
        <v>3162.11</v>
      </c>
      <c r="P530" s="48"/>
      <c r="Q530" s="48">
        <v>616.59</v>
      </c>
      <c r="R530" s="48"/>
      <c r="S530" s="48">
        <v>4415.5600000000004</v>
      </c>
      <c r="T530" s="48"/>
      <c r="U530" s="48">
        <v>0</v>
      </c>
      <c r="V530" s="48"/>
      <c r="W530" s="48">
        <v>0</v>
      </c>
      <c r="X530" s="48"/>
      <c r="Y530" s="48">
        <v>0</v>
      </c>
      <c r="Z530" s="48"/>
      <c r="AA530" s="48">
        <v>0</v>
      </c>
      <c r="AB530" s="48"/>
      <c r="AC530" s="48">
        <v>0</v>
      </c>
      <c r="AD530" s="48"/>
      <c r="AE530" s="48">
        <v>0</v>
      </c>
      <c r="AF530" s="48"/>
      <c r="AG530" s="48">
        <v>0</v>
      </c>
      <c r="AH530" s="19">
        <f t="shared" si="26"/>
        <v>113272.71999999999</v>
      </c>
      <c r="AI530" s="48">
        <f t="shared" si="27"/>
        <v>113272.71999999999</v>
      </c>
    </row>
    <row r="531" spans="1:35" x14ac:dyDescent="0.2">
      <c r="A531" s="1" t="s">
        <v>60</v>
      </c>
      <c r="C531" s="1" t="s">
        <v>327</v>
      </c>
      <c r="E531" s="48">
        <v>7771.77</v>
      </c>
      <c r="F531" s="48"/>
      <c r="G531" s="48">
        <v>0</v>
      </c>
      <c r="H531" s="48"/>
      <c r="I531" s="48">
        <v>7683.88</v>
      </c>
      <c r="J531" s="48"/>
      <c r="K531" s="48">
        <v>0</v>
      </c>
      <c r="L531" s="48"/>
      <c r="M531" s="48">
        <v>1500</v>
      </c>
      <c r="N531" s="48"/>
      <c r="O531" s="48">
        <v>1054.3499999999999</v>
      </c>
      <c r="P531" s="48"/>
      <c r="Q531" s="48">
        <v>1936.54</v>
      </c>
      <c r="R531" s="48"/>
      <c r="S531" s="48">
        <v>1147.18</v>
      </c>
      <c r="T531" s="48"/>
      <c r="U531" s="48">
        <v>0</v>
      </c>
      <c r="V531" s="48"/>
      <c r="W531" s="48">
        <v>0</v>
      </c>
      <c r="X531" s="48"/>
      <c r="Y531" s="48">
        <v>0</v>
      </c>
      <c r="Z531" s="48"/>
      <c r="AA531" s="48">
        <v>0</v>
      </c>
      <c r="AB531" s="48"/>
      <c r="AC531" s="48">
        <v>0</v>
      </c>
      <c r="AD531" s="48"/>
      <c r="AE531" s="48">
        <v>0</v>
      </c>
      <c r="AF531" s="48"/>
      <c r="AG531" s="48">
        <v>0</v>
      </c>
      <c r="AH531" s="19">
        <f t="shared" si="26"/>
        <v>21093.72</v>
      </c>
      <c r="AI531" s="48">
        <f t="shared" si="27"/>
        <v>21093.72</v>
      </c>
    </row>
    <row r="532" spans="1:35" x14ac:dyDescent="0.2">
      <c r="A532" s="1" t="s">
        <v>415</v>
      </c>
      <c r="C532" s="1" t="s">
        <v>414</v>
      </c>
      <c r="E532" s="48">
        <v>77114.02</v>
      </c>
      <c r="F532" s="48"/>
      <c r="G532" s="48">
        <v>237602.13</v>
      </c>
      <c r="H532" s="48"/>
      <c r="I532" s="48">
        <v>105126.13</v>
      </c>
      <c r="J532" s="48"/>
      <c r="K532" s="48">
        <v>0</v>
      </c>
      <c r="L532" s="48"/>
      <c r="M532" s="48">
        <v>0</v>
      </c>
      <c r="N532" s="48"/>
      <c r="O532" s="48">
        <v>39423.629999999997</v>
      </c>
      <c r="P532" s="48"/>
      <c r="Q532" s="48">
        <v>69.59</v>
      </c>
      <c r="R532" s="48"/>
      <c r="S532" s="48">
        <v>86451.99</v>
      </c>
      <c r="T532" s="48"/>
      <c r="U532" s="48">
        <v>0</v>
      </c>
      <c r="V532" s="48"/>
      <c r="W532" s="48">
        <v>0</v>
      </c>
      <c r="X532" s="48"/>
      <c r="Y532" s="48">
        <v>5420.77</v>
      </c>
      <c r="Z532" s="48"/>
      <c r="AA532" s="48">
        <v>0</v>
      </c>
      <c r="AB532" s="48"/>
      <c r="AC532" s="48">
        <v>0</v>
      </c>
      <c r="AD532" s="48"/>
      <c r="AE532" s="48">
        <v>0</v>
      </c>
      <c r="AF532" s="48"/>
      <c r="AG532" s="48">
        <v>0</v>
      </c>
      <c r="AH532" s="19">
        <f t="shared" si="26"/>
        <v>551208.26000000013</v>
      </c>
      <c r="AI532" s="48">
        <f t="shared" si="27"/>
        <v>551208.26000000013</v>
      </c>
    </row>
    <row r="533" spans="1:35" x14ac:dyDescent="0.2">
      <c r="A533" s="1" t="s">
        <v>808</v>
      </c>
      <c r="C533" s="1" t="s">
        <v>265</v>
      </c>
      <c r="E533" s="48">
        <v>23439.360000000001</v>
      </c>
      <c r="F533" s="48"/>
      <c r="G533" s="48">
        <v>0</v>
      </c>
      <c r="H533" s="48"/>
      <c r="I533" s="48">
        <v>11562.27</v>
      </c>
      <c r="J533" s="48"/>
      <c r="K533" s="48">
        <v>0</v>
      </c>
      <c r="L533" s="48"/>
      <c r="M533" s="48">
        <v>0</v>
      </c>
      <c r="N533" s="48"/>
      <c r="O533" s="48">
        <v>57129.11</v>
      </c>
      <c r="P533" s="48"/>
      <c r="Q533" s="48">
        <v>36.590000000000003</v>
      </c>
      <c r="R533" s="48"/>
      <c r="S533" s="48">
        <v>2667.54</v>
      </c>
      <c r="T533" s="48"/>
      <c r="U533" s="48">
        <v>0</v>
      </c>
      <c r="V533" s="48"/>
      <c r="W533" s="48">
        <v>0</v>
      </c>
      <c r="X533" s="48"/>
      <c r="Y533" s="48">
        <v>0</v>
      </c>
      <c r="Z533" s="48"/>
      <c r="AA533" s="48">
        <v>0</v>
      </c>
      <c r="AB533" s="48"/>
      <c r="AC533" s="48">
        <v>1500</v>
      </c>
      <c r="AD533" s="48"/>
      <c r="AE533" s="48">
        <v>0</v>
      </c>
      <c r="AF533" s="48"/>
      <c r="AG533" s="48">
        <v>0</v>
      </c>
      <c r="AH533" s="19">
        <f t="shared" si="26"/>
        <v>96334.87</v>
      </c>
      <c r="AI533" s="48">
        <f t="shared" si="27"/>
        <v>96334.87</v>
      </c>
    </row>
    <row r="534" spans="1:35" x14ac:dyDescent="0.2">
      <c r="A534" s="1" t="s">
        <v>500</v>
      </c>
      <c r="C534" s="1" t="s">
        <v>498</v>
      </c>
      <c r="E534" s="48">
        <v>16507.05</v>
      </c>
      <c r="F534" s="48"/>
      <c r="G534" s="48">
        <v>126130.51</v>
      </c>
      <c r="H534" s="48"/>
      <c r="I534" s="48">
        <v>25436.71</v>
      </c>
      <c r="J534" s="48"/>
      <c r="K534" s="48">
        <v>0</v>
      </c>
      <c r="L534" s="48"/>
      <c r="M534" s="48">
        <v>32939.46</v>
      </c>
      <c r="N534" s="48"/>
      <c r="O534" s="48">
        <v>9559.6200000000008</v>
      </c>
      <c r="P534" s="48"/>
      <c r="Q534" s="48">
        <v>0</v>
      </c>
      <c r="R534" s="48"/>
      <c r="S534" s="48">
        <v>37037.51</v>
      </c>
      <c r="T534" s="48"/>
      <c r="U534" s="48">
        <v>0</v>
      </c>
      <c r="V534" s="48"/>
      <c r="W534" s="48">
        <v>0</v>
      </c>
      <c r="X534" s="48"/>
      <c r="Y534" s="48">
        <v>0</v>
      </c>
      <c r="Z534" s="48"/>
      <c r="AA534" s="48">
        <v>0</v>
      </c>
      <c r="AB534" s="48"/>
      <c r="AC534" s="48">
        <v>0</v>
      </c>
      <c r="AD534" s="48"/>
      <c r="AE534" s="48">
        <v>0</v>
      </c>
      <c r="AF534" s="48"/>
      <c r="AG534" s="48">
        <v>0</v>
      </c>
      <c r="AH534" s="19">
        <f t="shared" si="26"/>
        <v>247610.86</v>
      </c>
      <c r="AI534" s="48">
        <f t="shared" si="27"/>
        <v>247610.86</v>
      </c>
    </row>
    <row r="535" spans="1:35" x14ac:dyDescent="0.2">
      <c r="A535" s="1" t="s">
        <v>648</v>
      </c>
      <c r="C535" s="1" t="s">
        <v>431</v>
      </c>
      <c r="E535" s="48">
        <v>16777.25</v>
      </c>
      <c r="F535" s="48"/>
      <c r="G535" s="48">
        <v>0</v>
      </c>
      <c r="H535" s="48"/>
      <c r="I535" s="48">
        <v>12031.15</v>
      </c>
      <c r="J535" s="48"/>
      <c r="K535" s="48">
        <v>0</v>
      </c>
      <c r="L535" s="48"/>
      <c r="M535" s="48">
        <v>0</v>
      </c>
      <c r="N535" s="48"/>
      <c r="O535" s="48">
        <v>6218.1</v>
      </c>
      <c r="P535" s="48"/>
      <c r="Q535" s="48">
        <v>11.63</v>
      </c>
      <c r="R535" s="48"/>
      <c r="S535" s="48">
        <v>27071.22</v>
      </c>
      <c r="T535" s="48"/>
      <c r="U535" s="48">
        <v>0</v>
      </c>
      <c r="V535" s="48"/>
      <c r="W535" s="48">
        <v>0</v>
      </c>
      <c r="X535" s="48"/>
      <c r="Y535" s="48">
        <v>0</v>
      </c>
      <c r="Z535" s="48"/>
      <c r="AA535" s="48">
        <v>1125.02</v>
      </c>
      <c r="AB535" s="48"/>
      <c r="AC535" s="48">
        <v>0</v>
      </c>
      <c r="AD535" s="48"/>
      <c r="AE535" s="48">
        <v>0</v>
      </c>
      <c r="AF535" s="48"/>
      <c r="AG535" s="48">
        <v>6747.64</v>
      </c>
      <c r="AH535" s="19">
        <f t="shared" si="26"/>
        <v>63234.369999999995</v>
      </c>
      <c r="AI535" s="48">
        <f t="shared" si="27"/>
        <v>69982.009999999995</v>
      </c>
    </row>
    <row r="536" spans="1:35" x14ac:dyDescent="0.2">
      <c r="A536" s="1" t="s">
        <v>282</v>
      </c>
      <c r="C536" s="1" t="s">
        <v>280</v>
      </c>
      <c r="E536" s="48">
        <v>58522.77</v>
      </c>
      <c r="F536" s="48"/>
      <c r="G536" s="48">
        <v>284371.13</v>
      </c>
      <c r="H536" s="48"/>
      <c r="I536" s="48">
        <v>81902.22</v>
      </c>
      <c r="J536" s="48"/>
      <c r="K536" s="48">
        <v>553.61</v>
      </c>
      <c r="L536" s="48"/>
      <c r="M536" s="48">
        <v>1576.8</v>
      </c>
      <c r="N536" s="48"/>
      <c r="O536" s="48">
        <v>24470.29</v>
      </c>
      <c r="P536" s="48"/>
      <c r="Q536" s="48">
        <v>1553.33</v>
      </c>
      <c r="R536" s="48"/>
      <c r="S536" s="48">
        <v>20160.91</v>
      </c>
      <c r="T536" s="48"/>
      <c r="U536" s="48">
        <v>0</v>
      </c>
      <c r="V536" s="48"/>
      <c r="W536" s="48">
        <v>0</v>
      </c>
      <c r="X536" s="48"/>
      <c r="Y536" s="48">
        <v>0</v>
      </c>
      <c r="Z536" s="48"/>
      <c r="AA536" s="48">
        <v>0</v>
      </c>
      <c r="AB536" s="48"/>
      <c r="AC536" s="48">
        <v>0</v>
      </c>
      <c r="AD536" s="48"/>
      <c r="AE536" s="48">
        <v>0</v>
      </c>
      <c r="AF536" s="48"/>
      <c r="AG536" s="48">
        <v>0</v>
      </c>
      <c r="AH536" s="19">
        <f t="shared" si="26"/>
        <v>473111.05999999994</v>
      </c>
      <c r="AI536" s="48">
        <f t="shared" si="27"/>
        <v>473111.05999999994</v>
      </c>
    </row>
    <row r="537" spans="1:35" x14ac:dyDescent="0.2">
      <c r="A537" s="1" t="s">
        <v>44</v>
      </c>
      <c r="C537" s="1" t="s">
        <v>283</v>
      </c>
      <c r="E537" s="48">
        <v>63660.47</v>
      </c>
      <c r="F537" s="48"/>
      <c r="G537" s="48">
        <v>125249.23</v>
      </c>
      <c r="H537" s="48"/>
      <c r="I537" s="48">
        <v>26293.17</v>
      </c>
      <c r="J537" s="48"/>
      <c r="K537" s="48">
        <v>0</v>
      </c>
      <c r="L537" s="48"/>
      <c r="M537" s="48">
        <v>0</v>
      </c>
      <c r="N537" s="48"/>
      <c r="O537" s="48">
        <v>135</v>
      </c>
      <c r="P537" s="48"/>
      <c r="Q537" s="48">
        <v>0</v>
      </c>
      <c r="R537" s="48"/>
      <c r="S537" s="48">
        <v>0</v>
      </c>
      <c r="T537" s="48"/>
      <c r="U537" s="48">
        <v>0</v>
      </c>
      <c r="V537" s="48"/>
      <c r="W537" s="48">
        <v>0</v>
      </c>
      <c r="X537" s="48"/>
      <c r="Y537" s="48">
        <v>0</v>
      </c>
      <c r="Z537" s="48"/>
      <c r="AA537" s="48">
        <v>0</v>
      </c>
      <c r="AB537" s="48"/>
      <c r="AC537" s="48">
        <v>18000</v>
      </c>
      <c r="AD537" s="48"/>
      <c r="AE537" s="48">
        <v>9708.81</v>
      </c>
      <c r="AF537" s="48"/>
      <c r="AG537" s="48">
        <v>0</v>
      </c>
      <c r="AH537" s="19">
        <f t="shared" si="26"/>
        <v>243046.68</v>
      </c>
      <c r="AI537" s="48">
        <f t="shared" si="27"/>
        <v>243046.68</v>
      </c>
    </row>
    <row r="538" spans="1:35" x14ac:dyDescent="0.2">
      <c r="A538" s="1" t="s">
        <v>785</v>
      </c>
      <c r="C538" s="1" t="s">
        <v>691</v>
      </c>
      <c r="E538" s="48">
        <v>2369</v>
      </c>
      <c r="F538" s="48"/>
      <c r="G538" s="48">
        <v>0</v>
      </c>
      <c r="H538" s="48"/>
      <c r="I538" s="48">
        <v>11482</v>
      </c>
      <c r="J538" s="48"/>
      <c r="K538" s="48">
        <v>0</v>
      </c>
      <c r="L538" s="48"/>
      <c r="M538" s="48">
        <v>0</v>
      </c>
      <c r="N538" s="48"/>
      <c r="O538" s="48">
        <v>220</v>
      </c>
      <c r="P538" s="48"/>
      <c r="Q538" s="48">
        <v>9</v>
      </c>
      <c r="R538" s="48"/>
      <c r="S538" s="48">
        <v>206</v>
      </c>
      <c r="T538" s="48"/>
      <c r="U538" s="48">
        <v>0</v>
      </c>
      <c r="V538" s="48"/>
      <c r="W538" s="48">
        <v>0</v>
      </c>
      <c r="X538" s="48"/>
      <c r="Y538" s="48">
        <v>0</v>
      </c>
      <c r="Z538" s="48"/>
      <c r="AA538" s="48">
        <v>0</v>
      </c>
      <c r="AB538" s="48"/>
      <c r="AC538" s="48">
        <v>0</v>
      </c>
      <c r="AD538" s="48"/>
      <c r="AE538" s="48">
        <v>0</v>
      </c>
      <c r="AF538" s="48"/>
      <c r="AG538" s="48">
        <v>0</v>
      </c>
      <c r="AH538" s="19">
        <f t="shared" ref="AH538:AH578" si="28">SUM(D538:AF538)</f>
        <v>14286</v>
      </c>
      <c r="AI538" s="48">
        <f t="shared" ref="AI538:AI579" si="29">SUM(E538:AG538)</f>
        <v>14286</v>
      </c>
    </row>
    <row r="539" spans="1:35" x14ac:dyDescent="0.2">
      <c r="A539" s="1" t="s">
        <v>25</v>
      </c>
      <c r="C539" s="1" t="s">
        <v>265</v>
      </c>
      <c r="E539" s="48">
        <v>17057.689999999999</v>
      </c>
      <c r="F539" s="48"/>
      <c r="G539" s="48">
        <v>0</v>
      </c>
      <c r="H539" s="48"/>
      <c r="I539" s="48">
        <v>8006.17</v>
      </c>
      <c r="J539" s="48"/>
      <c r="K539" s="48">
        <v>0</v>
      </c>
      <c r="L539" s="48"/>
      <c r="M539" s="48">
        <v>0</v>
      </c>
      <c r="N539" s="48"/>
      <c r="O539" s="48">
        <v>45075.02</v>
      </c>
      <c r="P539" s="48"/>
      <c r="Q539" s="48">
        <v>0</v>
      </c>
      <c r="R539" s="48"/>
      <c r="S539" s="48">
        <v>61249.73</v>
      </c>
      <c r="T539" s="48"/>
      <c r="U539" s="48">
        <v>0</v>
      </c>
      <c r="V539" s="48"/>
      <c r="W539" s="48">
        <v>0</v>
      </c>
      <c r="X539" s="48"/>
      <c r="Y539" s="48">
        <v>0</v>
      </c>
      <c r="Z539" s="48"/>
      <c r="AA539" s="48">
        <v>130000</v>
      </c>
      <c r="AB539" s="48"/>
      <c r="AC539" s="48">
        <v>0</v>
      </c>
      <c r="AD539" s="48"/>
      <c r="AE539" s="48">
        <v>0</v>
      </c>
      <c r="AF539" s="48"/>
      <c r="AG539" s="48">
        <v>0</v>
      </c>
      <c r="AH539" s="19">
        <f t="shared" si="28"/>
        <v>261388.61000000002</v>
      </c>
      <c r="AI539" s="48">
        <f t="shared" si="29"/>
        <v>261388.61000000002</v>
      </c>
    </row>
    <row r="540" spans="1:35" x14ac:dyDescent="0.2">
      <c r="A540" s="1" t="s">
        <v>626</v>
      </c>
      <c r="C540" s="1" t="s">
        <v>619</v>
      </c>
      <c r="E540" s="48">
        <v>6461</v>
      </c>
      <c r="F540" s="48"/>
      <c r="G540" s="48">
        <v>0</v>
      </c>
      <c r="H540" s="48"/>
      <c r="I540" s="48">
        <v>18278</v>
      </c>
      <c r="J540" s="48"/>
      <c r="K540" s="48">
        <v>0</v>
      </c>
      <c r="L540" s="48"/>
      <c r="M540" s="48">
        <v>0</v>
      </c>
      <c r="N540" s="48"/>
      <c r="O540" s="48">
        <v>120</v>
      </c>
      <c r="P540" s="48"/>
      <c r="Q540" s="48">
        <v>428</v>
      </c>
      <c r="R540" s="48"/>
      <c r="S540" s="48">
        <v>311</v>
      </c>
      <c r="T540" s="48"/>
      <c r="U540" s="48">
        <v>0</v>
      </c>
      <c r="V540" s="48"/>
      <c r="W540" s="48">
        <v>0</v>
      </c>
      <c r="X540" s="48"/>
      <c r="Y540" s="48">
        <v>0</v>
      </c>
      <c r="Z540" s="48"/>
      <c r="AA540" s="48">
        <v>0</v>
      </c>
      <c r="AB540" s="48"/>
      <c r="AC540" s="48">
        <v>0</v>
      </c>
      <c r="AD540" s="48"/>
      <c r="AE540" s="48">
        <v>0</v>
      </c>
      <c r="AF540" s="48"/>
      <c r="AG540" s="48">
        <v>0</v>
      </c>
      <c r="AH540" s="19">
        <f t="shared" si="28"/>
        <v>25598</v>
      </c>
      <c r="AI540" s="48">
        <f t="shared" si="29"/>
        <v>25598</v>
      </c>
    </row>
    <row r="541" spans="1:35" x14ac:dyDescent="0.2">
      <c r="A541" s="1" t="s">
        <v>376</v>
      </c>
      <c r="C541" s="1" t="s">
        <v>373</v>
      </c>
      <c r="E541" s="48">
        <v>42327</v>
      </c>
      <c r="F541" s="48"/>
      <c r="G541" s="48">
        <v>17468</v>
      </c>
      <c r="H541" s="48"/>
      <c r="I541" s="48">
        <v>23755</v>
      </c>
      <c r="J541" s="48"/>
      <c r="K541" s="48">
        <v>0</v>
      </c>
      <c r="L541" s="48"/>
      <c r="M541" s="48">
        <v>0</v>
      </c>
      <c r="N541" s="48"/>
      <c r="O541" s="48">
        <v>118528</v>
      </c>
      <c r="P541" s="48"/>
      <c r="Q541" s="48">
        <v>228</v>
      </c>
      <c r="R541" s="48"/>
      <c r="S541" s="48">
        <v>17844</v>
      </c>
      <c r="T541" s="48"/>
      <c r="U541" s="48">
        <v>0</v>
      </c>
      <c r="V541" s="48"/>
      <c r="W541" s="48">
        <v>0</v>
      </c>
      <c r="X541" s="48"/>
      <c r="Y541" s="48">
        <v>0</v>
      </c>
      <c r="Z541" s="48"/>
      <c r="AA541" s="48">
        <v>0</v>
      </c>
      <c r="AB541" s="48"/>
      <c r="AC541" s="48">
        <v>0</v>
      </c>
      <c r="AD541" s="48"/>
      <c r="AE541" s="48">
        <v>0</v>
      </c>
      <c r="AF541" s="48"/>
      <c r="AG541" s="48">
        <v>0</v>
      </c>
      <c r="AH541" s="19">
        <f t="shared" si="28"/>
        <v>220150</v>
      </c>
      <c r="AI541" s="48">
        <f t="shared" si="29"/>
        <v>220150</v>
      </c>
    </row>
    <row r="542" spans="1:35" x14ac:dyDescent="0.2"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19"/>
      <c r="AI542" s="48"/>
    </row>
    <row r="543" spans="1:35" ht="12.75" x14ac:dyDescent="0.2"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19"/>
      <c r="AI543" s="88" t="s">
        <v>733</v>
      </c>
    </row>
    <row r="544" spans="1:35" x14ac:dyDescent="0.2"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19"/>
      <c r="AI544" s="48"/>
    </row>
    <row r="545" spans="1:35" x14ac:dyDescent="0.2">
      <c r="A545" s="1" t="s">
        <v>534</v>
      </c>
      <c r="C545" s="1" t="s">
        <v>532</v>
      </c>
      <c r="E545" s="68">
        <v>11946.24</v>
      </c>
      <c r="F545" s="48"/>
      <c r="G545" s="68">
        <v>0</v>
      </c>
      <c r="H545" s="68"/>
      <c r="I545" s="68">
        <v>17007.68</v>
      </c>
      <c r="J545" s="68"/>
      <c r="K545" s="68">
        <v>0</v>
      </c>
      <c r="L545" s="68"/>
      <c r="M545" s="68">
        <v>0</v>
      </c>
      <c r="N545" s="68"/>
      <c r="O545" s="68">
        <v>0</v>
      </c>
      <c r="P545" s="68"/>
      <c r="Q545" s="68">
        <v>16.22</v>
      </c>
      <c r="R545" s="68"/>
      <c r="S545" s="68">
        <v>7211.73</v>
      </c>
      <c r="T545" s="68"/>
      <c r="U545" s="68">
        <v>0</v>
      </c>
      <c r="V545" s="68"/>
      <c r="W545" s="68">
        <v>0</v>
      </c>
      <c r="X545" s="68"/>
      <c r="Y545" s="68">
        <v>0</v>
      </c>
      <c r="Z545" s="68"/>
      <c r="AA545" s="68">
        <v>195.14</v>
      </c>
      <c r="AB545" s="68"/>
      <c r="AC545" s="68">
        <v>0</v>
      </c>
      <c r="AD545" s="68"/>
      <c r="AE545" s="68">
        <v>0</v>
      </c>
      <c r="AF545" s="68"/>
      <c r="AG545" s="68">
        <v>0</v>
      </c>
      <c r="AH545" s="68">
        <f t="shared" si="28"/>
        <v>36377.009999999995</v>
      </c>
      <c r="AI545" s="68">
        <f t="shared" si="29"/>
        <v>36377.009999999995</v>
      </c>
    </row>
    <row r="546" spans="1:35" x14ac:dyDescent="0.2">
      <c r="A546" s="1" t="s">
        <v>627</v>
      </c>
      <c r="C546" s="1" t="s">
        <v>616</v>
      </c>
      <c r="E546" s="48">
        <v>92083</v>
      </c>
      <c r="F546" s="48"/>
      <c r="G546" s="48">
        <v>0</v>
      </c>
      <c r="H546" s="48"/>
      <c r="I546" s="48">
        <v>14494</v>
      </c>
      <c r="J546" s="48"/>
      <c r="K546" s="48">
        <v>0</v>
      </c>
      <c r="L546" s="48"/>
      <c r="M546" s="48">
        <v>0</v>
      </c>
      <c r="N546" s="48"/>
      <c r="O546" s="48">
        <v>40526</v>
      </c>
      <c r="P546" s="48"/>
      <c r="Q546" s="48">
        <v>0</v>
      </c>
      <c r="R546" s="48"/>
      <c r="S546" s="48">
        <v>31522</v>
      </c>
      <c r="T546" s="48"/>
      <c r="U546" s="48">
        <v>0</v>
      </c>
      <c r="V546" s="48"/>
      <c r="W546" s="48">
        <v>0</v>
      </c>
      <c r="X546" s="48"/>
      <c r="Y546" s="48">
        <v>0</v>
      </c>
      <c r="Z546" s="48"/>
      <c r="AA546" s="48">
        <v>0</v>
      </c>
      <c r="AB546" s="48"/>
      <c r="AC546" s="48">
        <v>0</v>
      </c>
      <c r="AD546" s="48"/>
      <c r="AE546" s="48">
        <v>0</v>
      </c>
      <c r="AF546" s="48"/>
      <c r="AG546" s="48">
        <v>0</v>
      </c>
      <c r="AH546" s="19">
        <f t="shared" si="28"/>
        <v>178625</v>
      </c>
      <c r="AI546" s="48">
        <f t="shared" si="29"/>
        <v>178625</v>
      </c>
    </row>
    <row r="547" spans="1:35" x14ac:dyDescent="0.2">
      <c r="A547" s="1" t="s">
        <v>428</v>
      </c>
      <c r="C547" s="1" t="s">
        <v>429</v>
      </c>
      <c r="E547" s="48">
        <v>1358953</v>
      </c>
      <c r="F547" s="48"/>
      <c r="G547" s="48">
        <v>0</v>
      </c>
      <c r="H547" s="48"/>
      <c r="I547" s="48">
        <v>472780</v>
      </c>
      <c r="J547" s="48"/>
      <c r="K547" s="48">
        <v>46</v>
      </c>
      <c r="L547" s="48"/>
      <c r="M547" s="48">
        <v>84491</v>
      </c>
      <c r="N547" s="48"/>
      <c r="O547" s="48">
        <v>70514</v>
      </c>
      <c r="P547" s="48"/>
      <c r="Q547" s="48">
        <v>45</v>
      </c>
      <c r="R547" s="48"/>
      <c r="S547" s="48">
        <v>44320</v>
      </c>
      <c r="T547" s="48"/>
      <c r="U547" s="48">
        <v>0</v>
      </c>
      <c r="V547" s="48"/>
      <c r="W547" s="48">
        <v>0</v>
      </c>
      <c r="X547" s="48"/>
      <c r="Y547" s="48">
        <v>0</v>
      </c>
      <c r="Z547" s="48"/>
      <c r="AA547" s="48">
        <v>0</v>
      </c>
      <c r="AB547" s="48"/>
      <c r="AC547" s="48">
        <v>0</v>
      </c>
      <c r="AD547" s="48"/>
      <c r="AE547" s="48">
        <v>0</v>
      </c>
      <c r="AF547" s="48"/>
      <c r="AG547" s="48">
        <v>0</v>
      </c>
      <c r="AH547" s="19">
        <f t="shared" si="28"/>
        <v>2031149</v>
      </c>
      <c r="AI547" s="48">
        <f t="shared" si="29"/>
        <v>2031149</v>
      </c>
    </row>
    <row r="548" spans="1:35" x14ac:dyDescent="0.2">
      <c r="A548" s="1" t="s">
        <v>85</v>
      </c>
      <c r="C548" s="1" t="s">
        <v>349</v>
      </c>
      <c r="E548" s="48">
        <v>7713.21</v>
      </c>
      <c r="F548" s="48"/>
      <c r="G548" s="48">
        <v>0</v>
      </c>
      <c r="H548" s="48"/>
      <c r="I548" s="48">
        <v>11555.37</v>
      </c>
      <c r="J548" s="48"/>
      <c r="K548" s="48">
        <v>0</v>
      </c>
      <c r="L548" s="48"/>
      <c r="M548" s="48">
        <v>0</v>
      </c>
      <c r="N548" s="48"/>
      <c r="O548" s="48">
        <v>0</v>
      </c>
      <c r="P548" s="48"/>
      <c r="Q548" s="48">
        <v>998.29</v>
      </c>
      <c r="R548" s="48"/>
      <c r="S548" s="48">
        <v>468.37</v>
      </c>
      <c r="T548" s="48"/>
      <c r="U548" s="48">
        <v>0</v>
      </c>
      <c r="V548" s="48"/>
      <c r="W548" s="48">
        <v>0</v>
      </c>
      <c r="X548" s="48"/>
      <c r="Y548" s="48">
        <v>0</v>
      </c>
      <c r="Z548" s="48"/>
      <c r="AA548" s="48">
        <v>0</v>
      </c>
      <c r="AB548" s="48"/>
      <c r="AC548" s="48">
        <v>0</v>
      </c>
      <c r="AD548" s="48"/>
      <c r="AE548" s="48">
        <v>0</v>
      </c>
      <c r="AF548" s="48"/>
      <c r="AG548" s="48">
        <v>0</v>
      </c>
      <c r="AH548" s="19">
        <f t="shared" si="28"/>
        <v>20735.240000000002</v>
      </c>
      <c r="AI548" s="48">
        <f t="shared" si="29"/>
        <v>20735.240000000002</v>
      </c>
    </row>
    <row r="549" spans="1:35" x14ac:dyDescent="0.2">
      <c r="A549" s="1" t="s">
        <v>26</v>
      </c>
      <c r="C549" s="1" t="s">
        <v>480</v>
      </c>
      <c r="E549" s="48">
        <v>57511.09</v>
      </c>
      <c r="F549" s="48"/>
      <c r="G549" s="48">
        <v>0</v>
      </c>
      <c r="H549" s="48"/>
      <c r="I549" s="48">
        <v>29668.080000000002</v>
      </c>
      <c r="J549" s="48"/>
      <c r="K549" s="48">
        <v>0</v>
      </c>
      <c r="L549" s="48"/>
      <c r="M549" s="48">
        <v>10910</v>
      </c>
      <c r="N549" s="48"/>
      <c r="O549" s="48">
        <v>37610.879999999997</v>
      </c>
      <c r="P549" s="48"/>
      <c r="Q549" s="48">
        <v>148.97</v>
      </c>
      <c r="R549" s="48"/>
      <c r="S549" s="48">
        <v>4134.93</v>
      </c>
      <c r="T549" s="48"/>
      <c r="U549" s="48">
        <v>0</v>
      </c>
      <c r="V549" s="48"/>
      <c r="W549" s="48">
        <v>0</v>
      </c>
      <c r="X549" s="48"/>
      <c r="Y549" s="48">
        <v>0</v>
      </c>
      <c r="Z549" s="48"/>
      <c r="AA549" s="48">
        <v>0</v>
      </c>
      <c r="AB549" s="48"/>
      <c r="AC549" s="48">
        <v>0</v>
      </c>
      <c r="AD549" s="48"/>
      <c r="AE549" s="48">
        <v>2276.11</v>
      </c>
      <c r="AF549" s="48"/>
      <c r="AG549" s="48">
        <v>1.52</v>
      </c>
      <c r="AH549" s="19">
        <f t="shared" si="28"/>
        <v>142260.05999999997</v>
      </c>
      <c r="AI549" s="48">
        <f t="shared" si="29"/>
        <v>142261.57999999996</v>
      </c>
    </row>
    <row r="550" spans="1:35" x14ac:dyDescent="0.2">
      <c r="A550" s="1" t="s">
        <v>144</v>
      </c>
      <c r="C550" s="1" t="s">
        <v>823</v>
      </c>
      <c r="E550" s="48">
        <v>273969.36</v>
      </c>
      <c r="F550" s="48"/>
      <c r="G550" s="48">
        <v>1065688.22</v>
      </c>
      <c r="H550" s="48"/>
      <c r="I550" s="48">
        <v>243129.28</v>
      </c>
      <c r="J550" s="48"/>
      <c r="K550" s="48">
        <v>0</v>
      </c>
      <c r="L550" s="48"/>
      <c r="M550" s="48">
        <v>0</v>
      </c>
      <c r="N550" s="48"/>
      <c r="O550" s="48">
        <v>4408</v>
      </c>
      <c r="P550" s="48"/>
      <c r="Q550" s="48">
        <v>8215.2199999999993</v>
      </c>
      <c r="R550" s="48"/>
      <c r="S550" s="48">
        <v>325328.40000000002</v>
      </c>
      <c r="T550" s="48"/>
      <c r="U550" s="48">
        <v>0</v>
      </c>
      <c r="V550" s="48"/>
      <c r="W550" s="48">
        <v>0</v>
      </c>
      <c r="X550" s="48"/>
      <c r="Y550" s="48">
        <v>0</v>
      </c>
      <c r="Z550" s="48"/>
      <c r="AA550" s="48">
        <v>29</v>
      </c>
      <c r="AB550" s="48"/>
      <c r="AC550" s="48">
        <v>0</v>
      </c>
      <c r="AD550" s="48"/>
      <c r="AE550" s="48">
        <v>0</v>
      </c>
      <c r="AF550" s="48"/>
      <c r="AG550" s="48">
        <v>0</v>
      </c>
      <c r="AH550" s="19">
        <f t="shared" si="28"/>
        <v>1920767.48</v>
      </c>
      <c r="AI550" s="48">
        <f t="shared" si="29"/>
        <v>1920767.48</v>
      </c>
    </row>
    <row r="551" spans="1:35" x14ac:dyDescent="0.2">
      <c r="A551" s="1" t="s">
        <v>20</v>
      </c>
      <c r="C551" s="1" t="s">
        <v>261</v>
      </c>
      <c r="E551" s="48">
        <v>327804.25</v>
      </c>
      <c r="F551" s="48"/>
      <c r="G551" s="48">
        <v>0</v>
      </c>
      <c r="H551" s="48"/>
      <c r="I551" s="48">
        <v>328328.37</v>
      </c>
      <c r="J551" s="48"/>
      <c r="K551" s="48">
        <v>0</v>
      </c>
      <c r="L551" s="48"/>
      <c r="M551" s="48">
        <v>18351.080000000002</v>
      </c>
      <c r="N551" s="48"/>
      <c r="O551" s="48">
        <v>7574.88</v>
      </c>
      <c r="P551" s="48"/>
      <c r="Q551" s="48">
        <v>710.35</v>
      </c>
      <c r="R551" s="48"/>
      <c r="S551" s="48">
        <v>55198.38</v>
      </c>
      <c r="T551" s="48"/>
      <c r="U551" s="48">
        <v>0</v>
      </c>
      <c r="V551" s="48"/>
      <c r="W551" s="48">
        <v>0</v>
      </c>
      <c r="X551" s="48"/>
      <c r="Y551" s="48">
        <v>0</v>
      </c>
      <c r="Z551" s="48"/>
      <c r="AA551" s="48">
        <v>0</v>
      </c>
      <c r="AB551" s="48"/>
      <c r="AC551" s="48">
        <v>0</v>
      </c>
      <c r="AD551" s="48"/>
      <c r="AE551" s="48">
        <v>3280</v>
      </c>
      <c r="AF551" s="48"/>
      <c r="AG551" s="48">
        <v>0</v>
      </c>
      <c r="AH551" s="19">
        <f t="shared" si="28"/>
        <v>741247.30999999994</v>
      </c>
      <c r="AI551" s="48">
        <f t="shared" si="29"/>
        <v>741247.30999999994</v>
      </c>
    </row>
    <row r="552" spans="1:35" x14ac:dyDescent="0.2">
      <c r="A552" s="1" t="s">
        <v>173</v>
      </c>
      <c r="C552" s="1" t="s">
        <v>464</v>
      </c>
      <c r="E552" s="48">
        <v>49692.99</v>
      </c>
      <c r="F552" s="48"/>
      <c r="G552" s="48">
        <v>0</v>
      </c>
      <c r="H552" s="48"/>
      <c r="I552" s="48">
        <v>20212.41</v>
      </c>
      <c r="J552" s="48"/>
      <c r="K552" s="48">
        <v>0</v>
      </c>
      <c r="L552" s="48"/>
      <c r="M552" s="48">
        <v>0</v>
      </c>
      <c r="N552" s="48"/>
      <c r="O552" s="48">
        <v>15</v>
      </c>
      <c r="P552" s="48"/>
      <c r="Q552" s="48">
        <v>253.02</v>
      </c>
      <c r="R552" s="48"/>
      <c r="S552" s="48">
        <v>3909.08</v>
      </c>
      <c r="T552" s="48"/>
      <c r="U552" s="48">
        <v>0</v>
      </c>
      <c r="V552" s="48"/>
      <c r="W552" s="48">
        <v>0</v>
      </c>
      <c r="X552" s="48"/>
      <c r="Y552" s="48">
        <v>0</v>
      </c>
      <c r="Z552" s="48"/>
      <c r="AA552" s="48">
        <v>0</v>
      </c>
      <c r="AB552" s="48"/>
      <c r="AC552" s="48">
        <v>0</v>
      </c>
      <c r="AD552" s="48"/>
      <c r="AE552" s="48">
        <v>37763.22</v>
      </c>
      <c r="AF552" s="48"/>
      <c r="AG552" s="48">
        <v>0</v>
      </c>
      <c r="AH552" s="19">
        <f t="shared" si="28"/>
        <v>111845.72</v>
      </c>
      <c r="AI552" s="48">
        <f t="shared" si="29"/>
        <v>111845.72</v>
      </c>
    </row>
    <row r="553" spans="1:35" x14ac:dyDescent="0.2">
      <c r="A553" s="1" t="s">
        <v>322</v>
      </c>
      <c r="C553" s="1" t="s">
        <v>320</v>
      </c>
      <c r="E553" s="48">
        <v>68315.56</v>
      </c>
      <c r="F553" s="48"/>
      <c r="G553" s="48">
        <v>415273.2</v>
      </c>
      <c r="H553" s="48"/>
      <c r="I553" s="48">
        <v>30019.9</v>
      </c>
      <c r="J553" s="48"/>
      <c r="K553" s="48">
        <v>0</v>
      </c>
      <c r="L553" s="48"/>
      <c r="M553" s="48">
        <v>0</v>
      </c>
      <c r="N553" s="48"/>
      <c r="O553" s="48">
        <v>84016.1</v>
      </c>
      <c r="P553" s="48"/>
      <c r="Q553" s="48">
        <v>296.66000000000003</v>
      </c>
      <c r="R553" s="48"/>
      <c r="S553" s="48">
        <v>4264.5600000000004</v>
      </c>
      <c r="T553" s="48"/>
      <c r="U553" s="48">
        <v>0</v>
      </c>
      <c r="V553" s="48"/>
      <c r="W553" s="48">
        <v>0</v>
      </c>
      <c r="X553" s="48"/>
      <c r="Y553" s="48">
        <v>0</v>
      </c>
      <c r="Z553" s="48"/>
      <c r="AA553" s="48">
        <v>0</v>
      </c>
      <c r="AB553" s="48"/>
      <c r="AC553" s="48">
        <v>0</v>
      </c>
      <c r="AD553" s="48"/>
      <c r="AE553" s="48">
        <v>0</v>
      </c>
      <c r="AF553" s="48"/>
      <c r="AG553" s="48">
        <v>0</v>
      </c>
      <c r="AH553" s="19">
        <f t="shared" si="28"/>
        <v>602185.9800000001</v>
      </c>
      <c r="AI553" s="48">
        <f t="shared" si="29"/>
        <v>602185.9800000001</v>
      </c>
    </row>
    <row r="554" spans="1:35" x14ac:dyDescent="0.2">
      <c r="A554" s="1" t="s">
        <v>420</v>
      </c>
      <c r="C554" s="1" t="s">
        <v>419</v>
      </c>
      <c r="E554" s="48">
        <v>504903</v>
      </c>
      <c r="F554" s="48"/>
      <c r="G554" s="48">
        <v>3522977</v>
      </c>
      <c r="H554" s="48"/>
      <c r="I554" s="48">
        <v>163694</v>
      </c>
      <c r="J554" s="48"/>
      <c r="K554" s="48">
        <v>0</v>
      </c>
      <c r="L554" s="48"/>
      <c r="M554" s="48">
        <v>197290</v>
      </c>
      <c r="N554" s="48"/>
      <c r="O554" s="48">
        <v>532777</v>
      </c>
      <c r="P554" s="48"/>
      <c r="Q554" s="48">
        <v>554</v>
      </c>
      <c r="R554" s="48"/>
      <c r="S554" s="48">
        <v>107638</v>
      </c>
      <c r="T554" s="48"/>
      <c r="U554" s="48">
        <v>0</v>
      </c>
      <c r="V554" s="48"/>
      <c r="W554" s="48">
        <v>0</v>
      </c>
      <c r="X554" s="48"/>
      <c r="Y554" s="48">
        <v>0</v>
      </c>
      <c r="Z554" s="48"/>
      <c r="AA554" s="48">
        <v>0</v>
      </c>
      <c r="AB554" s="48"/>
      <c r="AC554" s="48">
        <v>0</v>
      </c>
      <c r="AD554" s="48"/>
      <c r="AE554" s="48">
        <v>0</v>
      </c>
      <c r="AF554" s="48"/>
      <c r="AG554" s="48">
        <v>0</v>
      </c>
      <c r="AH554" s="19">
        <f t="shared" si="28"/>
        <v>5029833</v>
      </c>
      <c r="AI554" s="48">
        <f t="shared" si="29"/>
        <v>5029833</v>
      </c>
    </row>
    <row r="555" spans="1:35" x14ac:dyDescent="0.2">
      <c r="A555" s="1" t="s">
        <v>30</v>
      </c>
      <c r="C555" s="1" t="s">
        <v>57</v>
      </c>
      <c r="E555" s="48">
        <v>8334.07</v>
      </c>
      <c r="F555" s="48"/>
      <c r="G555" s="48">
        <v>21775.48</v>
      </c>
      <c r="H555" s="48"/>
      <c r="I555" s="48">
        <v>19979.03</v>
      </c>
      <c r="J555" s="48"/>
      <c r="K555" s="48">
        <v>0</v>
      </c>
      <c r="L555" s="48"/>
      <c r="M555" s="48">
        <v>12612.88</v>
      </c>
      <c r="N555" s="48"/>
      <c r="O555" s="48">
        <v>753.23</v>
      </c>
      <c r="P555" s="48"/>
      <c r="Q555" s="48">
        <v>17.54</v>
      </c>
      <c r="R555" s="48"/>
      <c r="S555" s="48">
        <v>6825.7</v>
      </c>
      <c r="T555" s="48"/>
      <c r="U555" s="48">
        <v>0</v>
      </c>
      <c r="V555" s="48"/>
      <c r="W555" s="48">
        <v>0</v>
      </c>
      <c r="X555" s="48"/>
      <c r="Y555" s="48">
        <v>3005</v>
      </c>
      <c r="Z555" s="48"/>
      <c r="AA555" s="48">
        <v>0</v>
      </c>
      <c r="AB555" s="48"/>
      <c r="AC555" s="48">
        <v>0</v>
      </c>
      <c r="AD555" s="48"/>
      <c r="AE555" s="48">
        <v>532.95000000000005</v>
      </c>
      <c r="AF555" s="48"/>
      <c r="AG555" s="48">
        <v>424.34</v>
      </c>
      <c r="AH555" s="19">
        <f t="shared" si="28"/>
        <v>73835.88</v>
      </c>
      <c r="AI555" s="48">
        <f t="shared" si="29"/>
        <v>74260.22</v>
      </c>
    </row>
    <row r="556" spans="1:35" x14ac:dyDescent="0.2">
      <c r="A556" s="1" t="s">
        <v>51</v>
      </c>
      <c r="C556" s="1" t="s">
        <v>319</v>
      </c>
      <c r="E556" s="48">
        <v>17887.53</v>
      </c>
      <c r="F556" s="48"/>
      <c r="G556" s="48">
        <v>71495.62</v>
      </c>
      <c r="H556" s="48"/>
      <c r="I556" s="48">
        <v>42378.35</v>
      </c>
      <c r="J556" s="48"/>
      <c r="K556" s="48">
        <v>0</v>
      </c>
      <c r="L556" s="48"/>
      <c r="M556" s="48">
        <v>5165</v>
      </c>
      <c r="N556" s="48"/>
      <c r="O556" s="48">
        <v>4075.27</v>
      </c>
      <c r="P556" s="48"/>
      <c r="Q556" s="48">
        <v>322.35000000000002</v>
      </c>
      <c r="R556" s="48"/>
      <c r="S556" s="48">
        <v>10127.99</v>
      </c>
      <c r="T556" s="48"/>
      <c r="U556" s="48">
        <v>0</v>
      </c>
      <c r="V556" s="48"/>
      <c r="W556" s="48">
        <v>0</v>
      </c>
      <c r="X556" s="48"/>
      <c r="Y556" s="48">
        <v>0</v>
      </c>
      <c r="Z556" s="48"/>
      <c r="AA556" s="48">
        <v>0</v>
      </c>
      <c r="AB556" s="48"/>
      <c r="AC556" s="48">
        <v>0</v>
      </c>
      <c r="AD556" s="48"/>
      <c r="AE556" s="48">
        <v>31</v>
      </c>
      <c r="AF556" s="48"/>
      <c r="AG556" s="48">
        <v>0</v>
      </c>
      <c r="AH556" s="19">
        <f t="shared" si="28"/>
        <v>151483.10999999999</v>
      </c>
      <c r="AI556" s="48">
        <f t="shared" si="29"/>
        <v>151483.10999999999</v>
      </c>
    </row>
    <row r="557" spans="1:35" x14ac:dyDescent="0.2">
      <c r="A557" s="1" t="s">
        <v>483</v>
      </c>
      <c r="C557" s="1" t="s">
        <v>481</v>
      </c>
      <c r="E557" s="48">
        <v>24231</v>
      </c>
      <c r="F557" s="48"/>
      <c r="G557" s="48">
        <v>0</v>
      </c>
      <c r="H557" s="48"/>
      <c r="I557" s="48">
        <v>15109</v>
      </c>
      <c r="J557" s="48"/>
      <c r="K557" s="48">
        <v>0</v>
      </c>
      <c r="L557" s="48"/>
      <c r="M557" s="48">
        <v>0</v>
      </c>
      <c r="N557" s="48"/>
      <c r="O557" s="48">
        <v>7730</v>
      </c>
      <c r="P557" s="48"/>
      <c r="Q557" s="48">
        <v>2315</v>
      </c>
      <c r="R557" s="48"/>
      <c r="S557" s="48">
        <v>199127</v>
      </c>
      <c r="T557" s="48"/>
      <c r="U557" s="48">
        <v>0</v>
      </c>
      <c r="V557" s="48"/>
      <c r="W557" s="48">
        <v>0</v>
      </c>
      <c r="X557" s="48"/>
      <c r="Y557" s="48">
        <v>0</v>
      </c>
      <c r="Z557" s="48"/>
      <c r="AA557" s="48">
        <v>0</v>
      </c>
      <c r="AB557" s="48"/>
      <c r="AC557" s="48">
        <v>0</v>
      </c>
      <c r="AD557" s="48"/>
      <c r="AE557" s="48">
        <v>0</v>
      </c>
      <c r="AF557" s="48"/>
      <c r="AG557" s="48">
        <v>0</v>
      </c>
      <c r="AH557" s="19">
        <f t="shared" si="28"/>
        <v>248512</v>
      </c>
      <c r="AI557" s="48">
        <f t="shared" si="29"/>
        <v>248512</v>
      </c>
    </row>
    <row r="558" spans="1:35" x14ac:dyDescent="0.2">
      <c r="A558" s="6" t="s">
        <v>777</v>
      </c>
      <c r="B558" s="6"/>
      <c r="C558" s="6" t="s">
        <v>547</v>
      </c>
      <c r="D558" s="6"/>
      <c r="E558" s="48">
        <v>36733</v>
      </c>
      <c r="F558" s="48"/>
      <c r="G558" s="48">
        <v>212580</v>
      </c>
      <c r="H558" s="48"/>
      <c r="I558" s="48">
        <v>38871</v>
      </c>
      <c r="J558" s="48"/>
      <c r="K558" s="48">
        <v>8965</v>
      </c>
      <c r="L558" s="48"/>
      <c r="M558" s="48">
        <v>1617</v>
      </c>
      <c r="N558" s="48"/>
      <c r="O558" s="48">
        <v>9038</v>
      </c>
      <c r="P558" s="48"/>
      <c r="Q558" s="48">
        <v>0</v>
      </c>
      <c r="R558" s="48"/>
      <c r="S558" s="48">
        <v>13736</v>
      </c>
      <c r="T558" s="48"/>
      <c r="U558" s="48">
        <v>0</v>
      </c>
      <c r="V558" s="48"/>
      <c r="W558" s="48">
        <v>0</v>
      </c>
      <c r="X558" s="48"/>
      <c r="Y558" s="48">
        <v>0</v>
      </c>
      <c r="Z558" s="48"/>
      <c r="AA558" s="48">
        <v>0</v>
      </c>
      <c r="AB558" s="48"/>
      <c r="AC558" s="48">
        <v>0</v>
      </c>
      <c r="AD558" s="48"/>
      <c r="AE558" s="48">
        <v>0</v>
      </c>
      <c r="AF558" s="48"/>
      <c r="AG558" s="48">
        <v>0</v>
      </c>
      <c r="AH558" s="19">
        <f t="shared" si="28"/>
        <v>321540</v>
      </c>
      <c r="AI558" s="48">
        <f t="shared" si="29"/>
        <v>321540</v>
      </c>
    </row>
    <row r="559" spans="1:35" x14ac:dyDescent="0.2">
      <c r="A559" s="1" t="s">
        <v>515</v>
      </c>
      <c r="C559" s="1" t="s">
        <v>511</v>
      </c>
      <c r="E559" s="48">
        <v>923161</v>
      </c>
      <c r="F559" s="48"/>
      <c r="G559" s="48">
        <v>608608</v>
      </c>
      <c r="H559" s="48"/>
      <c r="I559" s="48">
        <v>627854</v>
      </c>
      <c r="J559" s="48"/>
      <c r="K559" s="48">
        <v>93</v>
      </c>
      <c r="L559" s="48"/>
      <c r="M559" s="48">
        <v>7564</v>
      </c>
      <c r="N559" s="48"/>
      <c r="O559" s="48">
        <v>86627</v>
      </c>
      <c r="P559" s="48"/>
      <c r="Q559" s="48">
        <v>1062</v>
      </c>
      <c r="R559" s="48"/>
      <c r="S559" s="48">
        <v>6109</v>
      </c>
      <c r="T559" s="48"/>
      <c r="U559" s="48">
        <v>0</v>
      </c>
      <c r="V559" s="48"/>
      <c r="W559" s="48">
        <v>0</v>
      </c>
      <c r="X559" s="48"/>
      <c r="Y559" s="48">
        <v>21875</v>
      </c>
      <c r="Z559" s="48"/>
      <c r="AA559" s="48">
        <v>0</v>
      </c>
      <c r="AB559" s="48"/>
      <c r="AC559" s="48">
        <v>0</v>
      </c>
      <c r="AD559" s="48"/>
      <c r="AE559" s="48">
        <v>0</v>
      </c>
      <c r="AF559" s="48"/>
      <c r="AG559" s="48">
        <v>0</v>
      </c>
      <c r="AH559" s="19">
        <f t="shared" si="28"/>
        <v>2282953</v>
      </c>
      <c r="AI559" s="48">
        <f t="shared" si="29"/>
        <v>2282953</v>
      </c>
    </row>
    <row r="560" spans="1:35" x14ac:dyDescent="0.2">
      <c r="A560" s="1" t="s">
        <v>815</v>
      </c>
      <c r="C560" s="1" t="s">
        <v>351</v>
      </c>
      <c r="E560" s="48">
        <v>666428</v>
      </c>
      <c r="F560" s="48"/>
      <c r="G560" s="48">
        <v>1374332</v>
      </c>
      <c r="H560" s="48"/>
      <c r="I560" s="48">
        <v>136852</v>
      </c>
      <c r="J560" s="48"/>
      <c r="K560" s="48">
        <v>0</v>
      </c>
      <c r="L560" s="48"/>
      <c r="M560" s="48">
        <v>291025</v>
      </c>
      <c r="N560" s="48"/>
      <c r="O560" s="48">
        <v>62142</v>
      </c>
      <c r="P560" s="48"/>
      <c r="Q560" s="48">
        <v>0</v>
      </c>
      <c r="R560" s="48"/>
      <c r="S560" s="48">
        <v>22335</v>
      </c>
      <c r="T560" s="48"/>
      <c r="U560" s="48">
        <v>0</v>
      </c>
      <c r="V560" s="48"/>
      <c r="W560" s="48">
        <v>0</v>
      </c>
      <c r="X560" s="48"/>
      <c r="Y560" s="48">
        <v>0</v>
      </c>
      <c r="Z560" s="48"/>
      <c r="AA560" s="48">
        <v>0</v>
      </c>
      <c r="AB560" s="48"/>
      <c r="AC560" s="48">
        <v>0</v>
      </c>
      <c r="AD560" s="48"/>
      <c r="AE560" s="48">
        <v>0</v>
      </c>
      <c r="AF560" s="48"/>
      <c r="AG560" s="48">
        <v>0</v>
      </c>
      <c r="AH560" s="19">
        <f t="shared" si="28"/>
        <v>2553114</v>
      </c>
      <c r="AI560" s="48">
        <f t="shared" si="29"/>
        <v>2553114</v>
      </c>
    </row>
    <row r="561" spans="1:35" x14ac:dyDescent="0.2">
      <c r="A561" s="1" t="s">
        <v>381</v>
      </c>
      <c r="C561" s="1" t="s">
        <v>379</v>
      </c>
      <c r="E561" s="48">
        <v>6973</v>
      </c>
      <c r="F561" s="48"/>
      <c r="G561" s="48">
        <v>0</v>
      </c>
      <c r="H561" s="48"/>
      <c r="I561" s="48">
        <v>12886</v>
      </c>
      <c r="J561" s="48"/>
      <c r="K561" s="48">
        <v>0</v>
      </c>
      <c r="L561" s="48"/>
      <c r="M561" s="48">
        <v>0</v>
      </c>
      <c r="N561" s="48"/>
      <c r="O561" s="48">
        <v>0</v>
      </c>
      <c r="P561" s="48"/>
      <c r="Q561" s="48">
        <v>0</v>
      </c>
      <c r="R561" s="48"/>
      <c r="S561" s="48">
        <v>76</v>
      </c>
      <c r="T561" s="48"/>
      <c r="U561" s="48">
        <v>0</v>
      </c>
      <c r="V561" s="48"/>
      <c r="W561" s="48">
        <v>0</v>
      </c>
      <c r="X561" s="48"/>
      <c r="Y561" s="48">
        <v>0</v>
      </c>
      <c r="Z561" s="48"/>
      <c r="AA561" s="48">
        <v>0</v>
      </c>
      <c r="AB561" s="48"/>
      <c r="AC561" s="48">
        <v>0</v>
      </c>
      <c r="AD561" s="48"/>
      <c r="AE561" s="48">
        <v>0</v>
      </c>
      <c r="AF561" s="48"/>
      <c r="AG561" s="48">
        <v>0</v>
      </c>
      <c r="AH561" s="19">
        <f t="shared" si="28"/>
        <v>19935</v>
      </c>
      <c r="AI561" s="48">
        <f t="shared" si="29"/>
        <v>19935</v>
      </c>
    </row>
    <row r="562" spans="1:35" x14ac:dyDescent="0.2">
      <c r="A562" s="6" t="s">
        <v>552</v>
      </c>
      <c r="B562" s="6"/>
      <c r="C562" s="6" t="s">
        <v>547</v>
      </c>
      <c r="D562" s="6"/>
      <c r="E562" s="48">
        <v>54669</v>
      </c>
      <c r="F562" s="48"/>
      <c r="G562" s="48">
        <v>590145</v>
      </c>
      <c r="H562" s="48"/>
      <c r="I562" s="48">
        <v>35724</v>
      </c>
      <c r="J562" s="48"/>
      <c r="K562" s="48">
        <v>0</v>
      </c>
      <c r="L562" s="48"/>
      <c r="M562" s="48">
        <v>27305</v>
      </c>
      <c r="N562" s="48"/>
      <c r="O562" s="48">
        <v>37977</v>
      </c>
      <c r="P562" s="48"/>
      <c r="Q562" s="48">
        <v>4946</v>
      </c>
      <c r="R562" s="48"/>
      <c r="S562" s="48">
        <v>4288</v>
      </c>
      <c r="T562" s="48"/>
      <c r="U562" s="48">
        <v>0</v>
      </c>
      <c r="V562" s="48"/>
      <c r="W562" s="48">
        <v>0</v>
      </c>
      <c r="X562" s="48"/>
      <c r="Y562" s="48">
        <v>0</v>
      </c>
      <c r="Z562" s="48"/>
      <c r="AA562" s="48">
        <v>0</v>
      </c>
      <c r="AB562" s="48"/>
      <c r="AC562" s="48">
        <v>0</v>
      </c>
      <c r="AD562" s="48"/>
      <c r="AE562" s="48">
        <v>0</v>
      </c>
      <c r="AF562" s="48"/>
      <c r="AG562" s="48">
        <v>0</v>
      </c>
      <c r="AH562" s="19">
        <f t="shared" si="28"/>
        <v>755054</v>
      </c>
      <c r="AI562" s="48">
        <f t="shared" si="29"/>
        <v>755054</v>
      </c>
    </row>
    <row r="563" spans="1:35" x14ac:dyDescent="0.2">
      <c r="A563" s="1" t="s">
        <v>809</v>
      </c>
      <c r="C563" s="1" t="s">
        <v>480</v>
      </c>
      <c r="E563" s="48">
        <v>9595.92</v>
      </c>
      <c r="F563" s="48"/>
      <c r="G563" s="48">
        <v>0</v>
      </c>
      <c r="H563" s="48"/>
      <c r="I563" s="48">
        <v>11276.55</v>
      </c>
      <c r="J563" s="48"/>
      <c r="K563" s="48">
        <v>0</v>
      </c>
      <c r="L563" s="48"/>
      <c r="M563" s="48">
        <v>0</v>
      </c>
      <c r="N563" s="48"/>
      <c r="O563" s="48">
        <v>2318.64</v>
      </c>
      <c r="P563" s="48"/>
      <c r="Q563" s="48">
        <v>34.29</v>
      </c>
      <c r="R563" s="48"/>
      <c r="S563" s="48">
        <v>51.88</v>
      </c>
      <c r="T563" s="48"/>
      <c r="U563" s="48">
        <v>0</v>
      </c>
      <c r="V563" s="48"/>
      <c r="W563" s="48">
        <v>0</v>
      </c>
      <c r="X563" s="48"/>
      <c r="Y563" s="48">
        <v>0</v>
      </c>
      <c r="Z563" s="48"/>
      <c r="AA563" s="48">
        <v>0</v>
      </c>
      <c r="AB563" s="48"/>
      <c r="AC563" s="48">
        <v>0</v>
      </c>
      <c r="AD563" s="48"/>
      <c r="AE563" s="48">
        <v>0</v>
      </c>
      <c r="AF563" s="48"/>
      <c r="AG563" s="48">
        <v>0</v>
      </c>
      <c r="AH563" s="19">
        <f t="shared" si="28"/>
        <v>23277.280000000002</v>
      </c>
      <c r="AI563" s="48">
        <f t="shared" si="29"/>
        <v>23277.280000000002</v>
      </c>
    </row>
    <row r="564" spans="1:35" x14ac:dyDescent="0.2">
      <c r="A564" s="1" t="s">
        <v>250</v>
      </c>
      <c r="C564" s="1" t="s">
        <v>467</v>
      </c>
      <c r="E564" s="48">
        <v>69090.5</v>
      </c>
      <c r="F564" s="48"/>
      <c r="G564" s="48">
        <v>253039.13</v>
      </c>
      <c r="H564" s="48"/>
      <c r="I564" s="48">
        <v>114731.29</v>
      </c>
      <c r="J564" s="48"/>
      <c r="K564" s="48">
        <v>456.45</v>
      </c>
      <c r="L564" s="48"/>
      <c r="M564" s="48">
        <v>116573.59</v>
      </c>
      <c r="N564" s="48"/>
      <c r="O564" s="48">
        <v>48982.559999999998</v>
      </c>
      <c r="P564" s="48"/>
      <c r="Q564" s="48">
        <v>1382.62</v>
      </c>
      <c r="R564" s="48"/>
      <c r="S564" s="48">
        <v>17581.3</v>
      </c>
      <c r="T564" s="48"/>
      <c r="U564" s="48">
        <v>0</v>
      </c>
      <c r="V564" s="48"/>
      <c r="W564" s="48">
        <v>0</v>
      </c>
      <c r="X564" s="48"/>
      <c r="Y564" s="48">
        <v>0</v>
      </c>
      <c r="Z564" s="48"/>
      <c r="AA564" s="48">
        <v>0</v>
      </c>
      <c r="AB564" s="48"/>
      <c r="AC564" s="48">
        <v>0</v>
      </c>
      <c r="AD564" s="48"/>
      <c r="AE564" s="48">
        <v>21716.39</v>
      </c>
      <c r="AF564" s="48"/>
      <c r="AG564" s="48">
        <v>0</v>
      </c>
      <c r="AH564" s="19">
        <f t="shared" si="28"/>
        <v>643553.83000000007</v>
      </c>
      <c r="AI564" s="48">
        <f t="shared" si="29"/>
        <v>643553.83000000007</v>
      </c>
    </row>
    <row r="565" spans="1:35" x14ac:dyDescent="0.2">
      <c r="A565" s="1" t="s">
        <v>704</v>
      </c>
      <c r="C565" s="1" t="s">
        <v>274</v>
      </c>
      <c r="E565" s="48">
        <v>62307.21</v>
      </c>
      <c r="F565" s="48"/>
      <c r="G565" s="48">
        <v>527143.23</v>
      </c>
      <c r="H565" s="48"/>
      <c r="I565" s="48">
        <v>48251.28</v>
      </c>
      <c r="J565" s="48"/>
      <c r="K565" s="48">
        <v>0</v>
      </c>
      <c r="L565" s="48"/>
      <c r="M565" s="48">
        <v>10.33</v>
      </c>
      <c r="N565" s="48"/>
      <c r="O565" s="48">
        <v>56426.75</v>
      </c>
      <c r="P565" s="48"/>
      <c r="Q565" s="48">
        <v>348.42</v>
      </c>
      <c r="R565" s="48"/>
      <c r="S565" s="48">
        <v>22817.83</v>
      </c>
      <c r="T565" s="48"/>
      <c r="U565" s="48">
        <v>0</v>
      </c>
      <c r="V565" s="48"/>
      <c r="W565" s="48">
        <v>0</v>
      </c>
      <c r="X565" s="48"/>
      <c r="Y565" s="48">
        <v>0</v>
      </c>
      <c r="Z565" s="48"/>
      <c r="AA565" s="48">
        <v>0</v>
      </c>
      <c r="AB565" s="48"/>
      <c r="AC565" s="48">
        <v>0</v>
      </c>
      <c r="AD565" s="48"/>
      <c r="AE565" s="48">
        <v>0</v>
      </c>
      <c r="AF565" s="48"/>
      <c r="AG565" s="48">
        <v>0</v>
      </c>
      <c r="AH565" s="19">
        <f t="shared" si="28"/>
        <v>717305.04999999993</v>
      </c>
      <c r="AI565" s="48">
        <f t="shared" si="29"/>
        <v>717305.04999999993</v>
      </c>
    </row>
    <row r="566" spans="1:35" x14ac:dyDescent="0.2">
      <c r="A566" s="1" t="s">
        <v>542</v>
      </c>
      <c r="C566" s="1" t="s">
        <v>541</v>
      </c>
      <c r="E566" s="48">
        <v>116998.16</v>
      </c>
      <c r="F566" s="48"/>
      <c r="G566" s="48">
        <v>1045625.3</v>
      </c>
      <c r="H566" s="48"/>
      <c r="I566" s="48">
        <v>28124.080000000002</v>
      </c>
      <c r="J566" s="48"/>
      <c r="K566" s="48">
        <v>0</v>
      </c>
      <c r="L566" s="48"/>
      <c r="M566" s="48">
        <v>0</v>
      </c>
      <c r="N566" s="48"/>
      <c r="O566" s="48">
        <v>93696.18</v>
      </c>
      <c r="P566" s="48"/>
      <c r="Q566" s="48">
        <v>1447.64</v>
      </c>
      <c r="R566" s="48"/>
      <c r="S566" s="48">
        <v>216570.83</v>
      </c>
      <c r="T566" s="48"/>
      <c r="U566" s="48">
        <v>0</v>
      </c>
      <c r="V566" s="48"/>
      <c r="W566" s="48">
        <v>0</v>
      </c>
      <c r="X566" s="48"/>
      <c r="Y566" s="48">
        <v>0</v>
      </c>
      <c r="Z566" s="48"/>
      <c r="AA566" s="48">
        <v>0</v>
      </c>
      <c r="AB566" s="48"/>
      <c r="AC566" s="48">
        <v>0</v>
      </c>
      <c r="AD566" s="48"/>
      <c r="AE566" s="48">
        <v>0</v>
      </c>
      <c r="AF566" s="48"/>
      <c r="AG566" s="48">
        <v>0</v>
      </c>
      <c r="AH566" s="19">
        <f t="shared" si="28"/>
        <v>1502462.19</v>
      </c>
      <c r="AI566" s="48">
        <f t="shared" si="29"/>
        <v>1502462.19</v>
      </c>
    </row>
    <row r="567" spans="1:35" x14ac:dyDescent="0.2">
      <c r="A567" s="1" t="s">
        <v>120</v>
      </c>
      <c r="C567" s="1" t="s">
        <v>406</v>
      </c>
      <c r="E567" s="48">
        <v>206251.25</v>
      </c>
      <c r="F567" s="48"/>
      <c r="G567" s="48">
        <v>0</v>
      </c>
      <c r="H567" s="48"/>
      <c r="I567" s="48">
        <v>64256.7</v>
      </c>
      <c r="J567" s="48"/>
      <c r="K567" s="48">
        <v>0</v>
      </c>
      <c r="L567" s="48"/>
      <c r="M567" s="48">
        <v>3240</v>
      </c>
      <c r="N567" s="48"/>
      <c r="O567" s="48">
        <v>147113.99</v>
      </c>
      <c r="P567" s="48"/>
      <c r="Q567" s="48">
        <v>0</v>
      </c>
      <c r="R567" s="48"/>
      <c r="S567" s="48">
        <v>6715.02</v>
      </c>
      <c r="T567" s="48"/>
      <c r="U567" s="48">
        <v>0</v>
      </c>
      <c r="V567" s="48"/>
      <c r="W567" s="48">
        <v>0</v>
      </c>
      <c r="X567" s="48"/>
      <c r="Y567" s="48">
        <v>0</v>
      </c>
      <c r="Z567" s="48"/>
      <c r="AA567" s="48">
        <v>0</v>
      </c>
      <c r="AB567" s="48"/>
      <c r="AC567" s="48">
        <v>2500</v>
      </c>
      <c r="AD567" s="48"/>
      <c r="AE567" s="48">
        <v>0</v>
      </c>
      <c r="AF567" s="48"/>
      <c r="AG567" s="48">
        <v>0</v>
      </c>
      <c r="AH567" s="19">
        <f t="shared" si="28"/>
        <v>430076.96</v>
      </c>
      <c r="AI567" s="48">
        <f t="shared" si="29"/>
        <v>430076.96</v>
      </c>
    </row>
    <row r="568" spans="1:35" x14ac:dyDescent="0.2">
      <c r="A568" s="1" t="s">
        <v>343</v>
      </c>
      <c r="C568" s="1" t="s">
        <v>342</v>
      </c>
      <c r="E568" s="48">
        <v>398751</v>
      </c>
      <c r="F568" s="48"/>
      <c r="G568" s="48">
        <v>1770021</v>
      </c>
      <c r="H568" s="48"/>
      <c r="I568" s="48">
        <v>245566</v>
      </c>
      <c r="J568" s="48"/>
      <c r="K568" s="48">
        <v>0</v>
      </c>
      <c r="L568" s="48"/>
      <c r="M568" s="48">
        <v>96735</v>
      </c>
      <c r="N568" s="48"/>
      <c r="O568" s="48">
        <v>70181</v>
      </c>
      <c r="P568" s="48"/>
      <c r="Q568" s="48">
        <v>3401</v>
      </c>
      <c r="R568" s="48"/>
      <c r="S568" s="48">
        <v>11614</v>
      </c>
      <c r="T568" s="48"/>
      <c r="U568" s="48">
        <v>0</v>
      </c>
      <c r="V568" s="48"/>
      <c r="W568" s="48">
        <v>0</v>
      </c>
      <c r="X568" s="48"/>
      <c r="Y568" s="48">
        <v>0</v>
      </c>
      <c r="Z568" s="48"/>
      <c r="AA568" s="48">
        <v>0</v>
      </c>
      <c r="AB568" s="48"/>
      <c r="AC568" s="48">
        <v>0</v>
      </c>
      <c r="AD568" s="48"/>
      <c r="AE568" s="48">
        <v>0</v>
      </c>
      <c r="AF568" s="48"/>
      <c r="AG568" s="48">
        <v>0</v>
      </c>
      <c r="AH568" s="19">
        <f t="shared" si="28"/>
        <v>2596269</v>
      </c>
      <c r="AI568" s="48">
        <f t="shared" si="29"/>
        <v>2596269</v>
      </c>
    </row>
    <row r="569" spans="1:35" x14ac:dyDescent="0.2">
      <c r="A569" s="1" t="s">
        <v>484</v>
      </c>
      <c r="C569" s="1" t="s">
        <v>485</v>
      </c>
      <c r="E569" s="48">
        <v>1795.8</v>
      </c>
      <c r="F569" s="48"/>
      <c r="G569" s="48">
        <v>0</v>
      </c>
      <c r="H569" s="48"/>
      <c r="I569" s="48">
        <v>13020.15</v>
      </c>
      <c r="J569" s="48"/>
      <c r="K569" s="48">
        <v>0</v>
      </c>
      <c r="L569" s="48"/>
      <c r="M569" s="48">
        <v>915</v>
      </c>
      <c r="N569" s="48"/>
      <c r="O569" s="48">
        <v>300</v>
      </c>
      <c r="P569" s="48"/>
      <c r="Q569" s="48">
        <v>1059.2</v>
      </c>
      <c r="R569" s="48"/>
      <c r="S569" s="48">
        <v>161.24</v>
      </c>
      <c r="T569" s="48"/>
      <c r="U569" s="48">
        <v>0</v>
      </c>
      <c r="V569" s="48"/>
      <c r="W569" s="48">
        <v>0</v>
      </c>
      <c r="X569" s="48"/>
      <c r="Y569" s="48">
        <v>0</v>
      </c>
      <c r="Z569" s="48"/>
      <c r="AA569" s="48">
        <v>0</v>
      </c>
      <c r="AB569" s="48"/>
      <c r="AC569" s="48">
        <v>0</v>
      </c>
      <c r="AD569" s="48"/>
      <c r="AE569" s="48">
        <v>0</v>
      </c>
      <c r="AF569" s="48"/>
      <c r="AG569" s="48">
        <v>0</v>
      </c>
      <c r="AH569" s="19">
        <f t="shared" si="28"/>
        <v>17251.39</v>
      </c>
      <c r="AI569" s="48">
        <f t="shared" si="29"/>
        <v>17251.39</v>
      </c>
    </row>
    <row r="570" spans="1:35" x14ac:dyDescent="0.2">
      <c r="A570" s="1" t="s">
        <v>133</v>
      </c>
      <c r="C570" s="1" t="s">
        <v>401</v>
      </c>
      <c r="E570" s="48">
        <v>6506.48</v>
      </c>
      <c r="F570" s="48"/>
      <c r="G570" s="48">
        <v>1843.6</v>
      </c>
      <c r="H570" s="48"/>
      <c r="I570" s="48">
        <v>16356.72</v>
      </c>
      <c r="J570" s="48"/>
      <c r="K570" s="48">
        <v>0</v>
      </c>
      <c r="L570" s="48"/>
      <c r="M570" s="48">
        <v>115</v>
      </c>
      <c r="N570" s="48"/>
      <c r="O570" s="48">
        <v>0</v>
      </c>
      <c r="P570" s="48"/>
      <c r="Q570" s="48">
        <v>23.81</v>
      </c>
      <c r="R570" s="48"/>
      <c r="S570" s="48">
        <v>642.79</v>
      </c>
      <c r="T570" s="48"/>
      <c r="U570" s="48">
        <v>0</v>
      </c>
      <c r="V570" s="48"/>
      <c r="W570" s="48">
        <v>0</v>
      </c>
      <c r="X570" s="48"/>
      <c r="Y570" s="48">
        <v>0</v>
      </c>
      <c r="Z570" s="48"/>
      <c r="AA570" s="48">
        <v>0</v>
      </c>
      <c r="AB570" s="48"/>
      <c r="AC570" s="48">
        <v>0</v>
      </c>
      <c r="AD570" s="48"/>
      <c r="AE570" s="48">
        <v>0</v>
      </c>
      <c r="AF570" s="48"/>
      <c r="AG570" s="48">
        <v>0</v>
      </c>
      <c r="AH570" s="19">
        <f t="shared" si="28"/>
        <v>25488.400000000001</v>
      </c>
      <c r="AI570" s="48">
        <f t="shared" si="29"/>
        <v>25488.400000000001</v>
      </c>
    </row>
    <row r="571" spans="1:35" x14ac:dyDescent="0.2">
      <c r="A571" s="1" t="s">
        <v>34</v>
      </c>
      <c r="C571" s="1" t="s">
        <v>274</v>
      </c>
      <c r="E571" s="48">
        <v>27707.919999999998</v>
      </c>
      <c r="F571" s="48"/>
      <c r="G571" s="48">
        <v>0</v>
      </c>
      <c r="H571" s="48"/>
      <c r="I571" s="48">
        <v>4629.0200000000004</v>
      </c>
      <c r="J571" s="48"/>
      <c r="K571" s="48">
        <v>0</v>
      </c>
      <c r="L571" s="48"/>
      <c r="M571" s="48">
        <v>3476.25</v>
      </c>
      <c r="N571" s="48"/>
      <c r="O571" s="48">
        <v>14058.86</v>
      </c>
      <c r="P571" s="48"/>
      <c r="Q571" s="48">
        <v>3081.24</v>
      </c>
      <c r="R571" s="48"/>
      <c r="S571" s="48">
        <v>6316.33</v>
      </c>
      <c r="T571" s="48"/>
      <c r="U571" s="48">
        <v>0</v>
      </c>
      <c r="V571" s="48"/>
      <c r="W571" s="48">
        <v>0</v>
      </c>
      <c r="X571" s="48"/>
      <c r="Y571" s="48">
        <v>0</v>
      </c>
      <c r="Z571" s="48"/>
      <c r="AA571" s="48">
        <v>0</v>
      </c>
      <c r="AB571" s="48"/>
      <c r="AC571" s="48">
        <v>0</v>
      </c>
      <c r="AD571" s="48"/>
      <c r="AE571" s="48">
        <v>0</v>
      </c>
      <c r="AF571" s="48"/>
      <c r="AG571" s="48">
        <v>0</v>
      </c>
      <c r="AH571" s="19">
        <f t="shared" si="28"/>
        <v>59269.62</v>
      </c>
      <c r="AI571" s="48">
        <f t="shared" si="29"/>
        <v>59269.62</v>
      </c>
    </row>
    <row r="572" spans="1:35" x14ac:dyDescent="0.2">
      <c r="A572" s="1" t="s">
        <v>202</v>
      </c>
      <c r="C572" s="1" t="s">
        <v>491</v>
      </c>
      <c r="E572" s="48">
        <v>28614.62</v>
      </c>
      <c r="F572" s="48"/>
      <c r="G572" s="48">
        <v>0</v>
      </c>
      <c r="H572" s="48"/>
      <c r="I572" s="48">
        <v>3428.45</v>
      </c>
      <c r="J572" s="48"/>
      <c r="K572" s="48">
        <v>0</v>
      </c>
      <c r="L572" s="48"/>
      <c r="M572" s="48">
        <v>0</v>
      </c>
      <c r="N572" s="48"/>
      <c r="O572" s="48">
        <v>185.43</v>
      </c>
      <c r="P572" s="48"/>
      <c r="Q572" s="48">
        <v>37.83</v>
      </c>
      <c r="R572" s="48"/>
      <c r="S572" s="48">
        <v>510</v>
      </c>
      <c r="T572" s="48"/>
      <c r="U572" s="48">
        <v>0</v>
      </c>
      <c r="V572" s="48"/>
      <c r="W572" s="48">
        <v>0</v>
      </c>
      <c r="X572" s="48"/>
      <c r="Y572" s="48">
        <v>0</v>
      </c>
      <c r="Z572" s="48"/>
      <c r="AA572" s="48">
        <v>20000</v>
      </c>
      <c r="AB572" s="48"/>
      <c r="AC572" s="48">
        <v>0</v>
      </c>
      <c r="AD572" s="48"/>
      <c r="AE572" s="48">
        <v>0</v>
      </c>
      <c r="AF572" s="48"/>
      <c r="AG572" s="48">
        <v>0</v>
      </c>
      <c r="AH572" s="19">
        <f t="shared" si="28"/>
        <v>52776.33</v>
      </c>
      <c r="AI572" s="48">
        <f t="shared" si="29"/>
        <v>52776.33</v>
      </c>
    </row>
    <row r="573" spans="1:35" x14ac:dyDescent="0.2">
      <c r="A573" s="1" t="s">
        <v>855</v>
      </c>
      <c r="C573" s="1" t="s">
        <v>450</v>
      </c>
      <c r="E573" s="48">
        <v>55682.43</v>
      </c>
      <c r="F573" s="48"/>
      <c r="G573" s="48">
        <v>330414.07</v>
      </c>
      <c r="H573" s="48"/>
      <c r="I573" s="48">
        <v>68335.72</v>
      </c>
      <c r="J573" s="48"/>
      <c r="K573" s="48">
        <v>0</v>
      </c>
      <c r="L573" s="48"/>
      <c r="M573" s="48">
        <v>21773.11</v>
      </c>
      <c r="N573" s="48"/>
      <c r="O573" s="48">
        <v>9348</v>
      </c>
      <c r="P573" s="48"/>
      <c r="Q573" s="48">
        <v>288.13</v>
      </c>
      <c r="R573" s="48"/>
      <c r="S573" s="48">
        <v>16882.400000000001</v>
      </c>
      <c r="T573" s="48"/>
      <c r="U573" s="48">
        <v>34822.92</v>
      </c>
      <c r="V573" s="48"/>
      <c r="W573" s="48">
        <v>0</v>
      </c>
      <c r="X573" s="48"/>
      <c r="Y573" s="48">
        <v>0</v>
      </c>
      <c r="Z573" s="48"/>
      <c r="AA573" s="48">
        <v>3084.04</v>
      </c>
      <c r="AB573" s="48"/>
      <c r="AC573" s="48">
        <v>0</v>
      </c>
      <c r="AD573" s="48"/>
      <c r="AE573" s="48">
        <v>0</v>
      </c>
      <c r="AF573" s="48"/>
      <c r="AG573" s="48">
        <v>0</v>
      </c>
      <c r="AH573" s="19">
        <f t="shared" si="28"/>
        <v>540630.82000000007</v>
      </c>
      <c r="AI573" s="48">
        <f t="shared" si="29"/>
        <v>540630.82000000007</v>
      </c>
    </row>
    <row r="574" spans="1:35" x14ac:dyDescent="0.2">
      <c r="A574" s="1" t="s">
        <v>710</v>
      </c>
      <c r="C574" s="1" t="s">
        <v>226</v>
      </c>
      <c r="E574" s="48">
        <v>11294.01</v>
      </c>
      <c r="F574" s="48"/>
      <c r="G574" s="48">
        <v>0</v>
      </c>
      <c r="H574" s="48"/>
      <c r="I574" s="48">
        <v>13142.85</v>
      </c>
      <c r="J574" s="48"/>
      <c r="K574" s="48">
        <v>0</v>
      </c>
      <c r="L574" s="48"/>
      <c r="M574" s="48">
        <v>0</v>
      </c>
      <c r="N574" s="48"/>
      <c r="O574" s="48">
        <v>925.07</v>
      </c>
      <c r="P574" s="48"/>
      <c r="Q574" s="48">
        <v>24.97</v>
      </c>
      <c r="R574" s="48"/>
      <c r="S574" s="48">
        <v>761.88</v>
      </c>
      <c r="T574" s="48"/>
      <c r="U574" s="48">
        <v>0</v>
      </c>
      <c r="V574" s="48"/>
      <c r="W574" s="48">
        <v>0</v>
      </c>
      <c r="X574" s="48"/>
      <c r="Y574" s="48">
        <v>0</v>
      </c>
      <c r="Z574" s="48"/>
      <c r="AA574" s="48">
        <v>0</v>
      </c>
      <c r="AB574" s="48"/>
      <c r="AC574" s="48">
        <v>0</v>
      </c>
      <c r="AD574" s="48"/>
      <c r="AE574" s="48">
        <v>0</v>
      </c>
      <c r="AF574" s="48"/>
      <c r="AG574" s="48">
        <v>13946.1</v>
      </c>
      <c r="AH574" s="19">
        <f t="shared" si="28"/>
        <v>26148.780000000002</v>
      </c>
      <c r="AI574" s="48">
        <f t="shared" si="29"/>
        <v>40094.880000000005</v>
      </c>
    </row>
    <row r="575" spans="1:35" x14ac:dyDescent="0.2">
      <c r="A575" s="1" t="s">
        <v>726</v>
      </c>
      <c r="C575" s="1" t="s">
        <v>823</v>
      </c>
      <c r="E575" s="48">
        <v>35133.129999999997</v>
      </c>
      <c r="F575" s="48"/>
      <c r="G575" s="48">
        <v>0</v>
      </c>
      <c r="H575" s="48"/>
      <c r="I575" s="48">
        <v>16201.79</v>
      </c>
      <c r="J575" s="48"/>
      <c r="K575" s="48">
        <v>0</v>
      </c>
      <c r="L575" s="48"/>
      <c r="M575" s="48">
        <v>0</v>
      </c>
      <c r="N575" s="48"/>
      <c r="O575" s="48">
        <v>16757.45</v>
      </c>
      <c r="P575" s="48"/>
      <c r="Q575" s="48">
        <v>1618.77</v>
      </c>
      <c r="R575" s="48"/>
      <c r="S575" s="48">
        <v>4386.03</v>
      </c>
      <c r="T575" s="48"/>
      <c r="U575" s="48">
        <v>0</v>
      </c>
      <c r="V575" s="48"/>
      <c r="W575" s="48">
        <v>0</v>
      </c>
      <c r="X575" s="48"/>
      <c r="Y575" s="48">
        <v>0</v>
      </c>
      <c r="Z575" s="48"/>
      <c r="AA575" s="48">
        <v>0</v>
      </c>
      <c r="AB575" s="48"/>
      <c r="AC575" s="48">
        <v>0</v>
      </c>
      <c r="AD575" s="48"/>
      <c r="AE575" s="48">
        <v>11385</v>
      </c>
      <c r="AF575" s="48"/>
      <c r="AG575" s="48">
        <v>0</v>
      </c>
      <c r="AH575" s="19">
        <f t="shared" si="28"/>
        <v>85482.17</v>
      </c>
      <c r="AI575" s="48">
        <f t="shared" si="29"/>
        <v>85482.17</v>
      </c>
    </row>
    <row r="576" spans="1:35" x14ac:dyDescent="0.2">
      <c r="A576" s="1" t="s">
        <v>6</v>
      </c>
      <c r="C576" s="1" t="s">
        <v>651</v>
      </c>
      <c r="E576" s="48">
        <v>65429.64</v>
      </c>
      <c r="F576" s="48"/>
      <c r="G576" s="48">
        <v>0</v>
      </c>
      <c r="H576" s="48"/>
      <c r="I576" s="48">
        <v>60212.55</v>
      </c>
      <c r="J576" s="48"/>
      <c r="K576" s="48">
        <v>0</v>
      </c>
      <c r="L576" s="48"/>
      <c r="M576" s="48">
        <v>5276.19</v>
      </c>
      <c r="N576" s="48"/>
      <c r="O576" s="48">
        <v>26764.240000000002</v>
      </c>
      <c r="P576" s="48"/>
      <c r="Q576" s="48">
        <v>131.9</v>
      </c>
      <c r="R576" s="48"/>
      <c r="S576" s="48">
        <v>3985.95</v>
      </c>
      <c r="T576" s="48"/>
      <c r="U576" s="48">
        <v>0</v>
      </c>
      <c r="V576" s="48"/>
      <c r="W576" s="48">
        <v>0</v>
      </c>
      <c r="X576" s="48"/>
      <c r="Y576" s="48">
        <v>0</v>
      </c>
      <c r="Z576" s="48"/>
      <c r="AA576" s="48">
        <v>239992.74</v>
      </c>
      <c r="AB576" s="48"/>
      <c r="AC576" s="48">
        <v>0</v>
      </c>
      <c r="AD576" s="48"/>
      <c r="AE576" s="48">
        <v>0</v>
      </c>
      <c r="AF576" s="48"/>
      <c r="AG576" s="48">
        <v>0</v>
      </c>
      <c r="AH576" s="19">
        <f t="shared" si="28"/>
        <v>401793.20999999996</v>
      </c>
      <c r="AI576" s="48">
        <f t="shared" si="29"/>
        <v>401793.20999999996</v>
      </c>
    </row>
    <row r="577" spans="1:35" x14ac:dyDescent="0.2">
      <c r="A577" s="1" t="s">
        <v>80</v>
      </c>
      <c r="C577" s="1" t="s">
        <v>345</v>
      </c>
      <c r="E577" s="48">
        <v>37892.839999999997</v>
      </c>
      <c r="F577" s="48"/>
      <c r="G577" s="48">
        <v>0</v>
      </c>
      <c r="H577" s="48"/>
      <c r="I577" s="48">
        <v>76812.56</v>
      </c>
      <c r="J577" s="48"/>
      <c r="K577" s="48">
        <v>0</v>
      </c>
      <c r="L577" s="48"/>
      <c r="M577" s="48">
        <v>6240</v>
      </c>
      <c r="N577" s="48"/>
      <c r="O577" s="48">
        <v>30103.24</v>
      </c>
      <c r="P577" s="48"/>
      <c r="Q577" s="48">
        <v>0</v>
      </c>
      <c r="R577" s="48"/>
      <c r="S577" s="48">
        <v>0</v>
      </c>
      <c r="T577" s="48"/>
      <c r="U577" s="48">
        <v>0</v>
      </c>
      <c r="V577" s="48"/>
      <c r="W577" s="48">
        <v>0</v>
      </c>
      <c r="X577" s="48"/>
      <c r="Y577" s="48">
        <v>0</v>
      </c>
      <c r="Z577" s="48"/>
      <c r="AA577" s="48">
        <v>0</v>
      </c>
      <c r="AB577" s="48"/>
      <c r="AC577" s="48">
        <v>0</v>
      </c>
      <c r="AD577" s="48"/>
      <c r="AE577" s="48">
        <v>0</v>
      </c>
      <c r="AF577" s="48"/>
      <c r="AG577" s="48">
        <v>0</v>
      </c>
      <c r="AH577" s="19">
        <f t="shared" si="28"/>
        <v>151048.63999999998</v>
      </c>
      <c r="AI577" s="48">
        <f t="shared" si="29"/>
        <v>151048.63999999998</v>
      </c>
    </row>
    <row r="578" spans="1:35" x14ac:dyDescent="0.2">
      <c r="A578" s="1" t="s">
        <v>837</v>
      </c>
      <c r="C578" s="1" t="s">
        <v>351</v>
      </c>
      <c r="E578" s="48">
        <v>0</v>
      </c>
      <c r="F578" s="48"/>
      <c r="G578" s="48">
        <v>10370119</v>
      </c>
      <c r="H578" s="48"/>
      <c r="I578" s="48">
        <v>680303</v>
      </c>
      <c r="J578" s="48"/>
      <c r="K578" s="48">
        <v>0</v>
      </c>
      <c r="L578" s="48"/>
      <c r="M578" s="48">
        <v>149960</v>
      </c>
      <c r="N578" s="48"/>
      <c r="O578" s="48">
        <f>98723+41707</f>
        <v>140430</v>
      </c>
      <c r="P578" s="48"/>
      <c r="Q578" s="48">
        <v>21334</v>
      </c>
      <c r="R578" s="48"/>
      <c r="S578" s="48">
        <v>813184</v>
      </c>
      <c r="T578" s="48"/>
      <c r="U578" s="48">
        <v>283240</v>
      </c>
      <c r="V578" s="48"/>
      <c r="W578" s="48">
        <v>0</v>
      </c>
      <c r="X578" s="48"/>
      <c r="Y578" s="48">
        <v>93533</v>
      </c>
      <c r="Z578" s="48"/>
      <c r="AA578" s="48">
        <v>0</v>
      </c>
      <c r="AB578" s="48"/>
      <c r="AC578" s="48">
        <v>0</v>
      </c>
      <c r="AD578" s="48"/>
      <c r="AE578" s="48">
        <v>0</v>
      </c>
      <c r="AF578" s="48"/>
      <c r="AG578" s="48">
        <v>0</v>
      </c>
      <c r="AH578" s="19">
        <f t="shared" si="28"/>
        <v>12552103</v>
      </c>
      <c r="AI578" s="48">
        <f t="shared" si="29"/>
        <v>12552103</v>
      </c>
    </row>
    <row r="579" spans="1:35" x14ac:dyDescent="0.2">
      <c r="A579" s="1" t="s">
        <v>854</v>
      </c>
      <c r="C579" s="1" t="s">
        <v>433</v>
      </c>
      <c r="E579" s="48">
        <v>89551.59</v>
      </c>
      <c r="F579" s="48"/>
      <c r="G579" s="48">
        <v>0</v>
      </c>
      <c r="H579" s="48"/>
      <c r="I579" s="48">
        <v>100362.46</v>
      </c>
      <c r="J579" s="48"/>
      <c r="K579" s="48">
        <v>0</v>
      </c>
      <c r="L579" s="48"/>
      <c r="M579" s="48">
        <v>0</v>
      </c>
      <c r="N579" s="48"/>
      <c r="O579" s="48">
        <v>32140.07</v>
      </c>
      <c r="P579" s="48"/>
      <c r="Q579" s="48">
        <v>12852.12</v>
      </c>
      <c r="R579" s="48"/>
      <c r="S579" s="48">
        <v>0</v>
      </c>
      <c r="T579" s="48"/>
      <c r="U579" s="48">
        <v>0</v>
      </c>
      <c r="V579" s="48"/>
      <c r="W579" s="48">
        <v>0</v>
      </c>
      <c r="X579" s="48"/>
      <c r="Y579" s="48">
        <v>35530</v>
      </c>
      <c r="Z579" s="48"/>
      <c r="AA579" s="48">
        <v>0</v>
      </c>
      <c r="AB579" s="48"/>
      <c r="AC579" s="48">
        <v>0</v>
      </c>
      <c r="AD579" s="48"/>
      <c r="AE579" s="48">
        <v>0</v>
      </c>
      <c r="AF579" s="48"/>
      <c r="AG579" s="48">
        <v>0</v>
      </c>
      <c r="AH579" s="19">
        <f t="shared" ref="AH579:AH619" si="30">SUM(D579:AF579)</f>
        <v>270436.24</v>
      </c>
      <c r="AI579" s="48">
        <f t="shared" si="29"/>
        <v>270436.24</v>
      </c>
    </row>
    <row r="580" spans="1:35" x14ac:dyDescent="0.2">
      <c r="A580" s="1" t="s">
        <v>412</v>
      </c>
      <c r="C580" s="1" t="s">
        <v>408</v>
      </c>
      <c r="E580" s="48">
        <v>5429</v>
      </c>
      <c r="F580" s="48"/>
      <c r="G580" s="48">
        <v>0</v>
      </c>
      <c r="H580" s="48"/>
      <c r="I580" s="48">
        <v>22387</v>
      </c>
      <c r="J580" s="48"/>
      <c r="K580" s="48">
        <v>0</v>
      </c>
      <c r="L580" s="48"/>
      <c r="M580" s="48">
        <v>0</v>
      </c>
      <c r="N580" s="48"/>
      <c r="O580" s="48">
        <v>27382</v>
      </c>
      <c r="P580" s="48"/>
      <c r="Q580" s="48">
        <v>0</v>
      </c>
      <c r="R580" s="48"/>
      <c r="S580" s="48">
        <v>67273</v>
      </c>
      <c r="T580" s="48"/>
      <c r="U580" s="48">
        <v>0</v>
      </c>
      <c r="V580" s="48"/>
      <c r="W580" s="48">
        <v>0</v>
      </c>
      <c r="X580" s="48"/>
      <c r="Y580" s="48">
        <v>0</v>
      </c>
      <c r="Z580" s="48"/>
      <c r="AA580" s="48">
        <v>0</v>
      </c>
      <c r="AB580" s="48"/>
      <c r="AC580" s="48">
        <v>0</v>
      </c>
      <c r="AD580" s="48"/>
      <c r="AE580" s="48">
        <v>0</v>
      </c>
      <c r="AF580" s="48"/>
      <c r="AG580" s="48">
        <v>0</v>
      </c>
      <c r="AH580" s="19">
        <f t="shared" si="30"/>
        <v>122471</v>
      </c>
      <c r="AI580" s="48">
        <f t="shared" ref="AI580:AI619" si="31">SUM(E580:AG580)</f>
        <v>122471</v>
      </c>
    </row>
    <row r="581" spans="1:35" x14ac:dyDescent="0.2">
      <c r="A581" s="1" t="s">
        <v>32</v>
      </c>
      <c r="C581" s="1" t="s">
        <v>269</v>
      </c>
      <c r="E581" s="48">
        <v>44227.43</v>
      </c>
      <c r="F581" s="48"/>
      <c r="G581" s="48">
        <v>299421.21000000002</v>
      </c>
      <c r="H581" s="48"/>
      <c r="I581" s="48">
        <v>30927.32</v>
      </c>
      <c r="J581" s="48"/>
      <c r="K581" s="48">
        <v>0</v>
      </c>
      <c r="L581" s="48"/>
      <c r="M581" s="48">
        <v>24150</v>
      </c>
      <c r="N581" s="48"/>
      <c r="O581" s="48">
        <v>52779.71</v>
      </c>
      <c r="P581" s="48"/>
      <c r="Q581" s="48">
        <v>1234.3599999999999</v>
      </c>
      <c r="R581" s="48"/>
      <c r="S581" s="48">
        <v>5448.7</v>
      </c>
      <c r="T581" s="48"/>
      <c r="U581" s="48">
        <v>0</v>
      </c>
      <c r="V581" s="48"/>
      <c r="W581" s="48">
        <v>0</v>
      </c>
      <c r="X581" s="48"/>
      <c r="Y581" s="48">
        <v>0</v>
      </c>
      <c r="Z581" s="48"/>
      <c r="AA581" s="48">
        <v>0</v>
      </c>
      <c r="AB581" s="48"/>
      <c r="AC581" s="48">
        <v>0</v>
      </c>
      <c r="AD581" s="48"/>
      <c r="AE581" s="48">
        <v>0</v>
      </c>
      <c r="AF581" s="48"/>
      <c r="AG581" s="48">
        <v>0</v>
      </c>
      <c r="AH581" s="19">
        <f t="shared" si="30"/>
        <v>458188.73000000004</v>
      </c>
      <c r="AI581" s="48">
        <f t="shared" si="31"/>
        <v>458188.73000000004</v>
      </c>
    </row>
    <row r="582" spans="1:35" x14ac:dyDescent="0.2">
      <c r="A582" s="1" t="s">
        <v>444</v>
      </c>
      <c r="C582" s="1" t="s">
        <v>441</v>
      </c>
      <c r="E582" s="48">
        <v>3662</v>
      </c>
      <c r="F582" s="48"/>
      <c r="G582" s="48">
        <v>0</v>
      </c>
      <c r="H582" s="48"/>
      <c r="I582" s="48">
        <v>4513</v>
      </c>
      <c r="J582" s="48"/>
      <c r="K582" s="48">
        <v>0</v>
      </c>
      <c r="L582" s="48"/>
      <c r="M582" s="48">
        <v>0</v>
      </c>
      <c r="N582" s="48"/>
      <c r="O582" s="48">
        <v>0</v>
      </c>
      <c r="P582" s="48"/>
      <c r="Q582" s="48">
        <v>0</v>
      </c>
      <c r="R582" s="48"/>
      <c r="S582" s="48">
        <v>14</v>
      </c>
      <c r="T582" s="48"/>
      <c r="U582" s="48">
        <v>0</v>
      </c>
      <c r="V582" s="48"/>
      <c r="W582" s="48">
        <v>0</v>
      </c>
      <c r="X582" s="48"/>
      <c r="Y582" s="48">
        <v>0</v>
      </c>
      <c r="Z582" s="48"/>
      <c r="AA582" s="48">
        <v>0</v>
      </c>
      <c r="AB582" s="48"/>
      <c r="AC582" s="48">
        <v>0</v>
      </c>
      <c r="AD582" s="48"/>
      <c r="AE582" s="48">
        <v>0</v>
      </c>
      <c r="AF582" s="48"/>
      <c r="AG582" s="48">
        <v>0</v>
      </c>
      <c r="AH582" s="19">
        <f t="shared" si="30"/>
        <v>8189</v>
      </c>
      <c r="AI582" s="48">
        <f t="shared" si="31"/>
        <v>8189</v>
      </c>
    </row>
    <row r="583" spans="1:35" x14ac:dyDescent="0.2">
      <c r="A583" s="1" t="s">
        <v>155</v>
      </c>
      <c r="C583" s="1" t="s">
        <v>765</v>
      </c>
      <c r="E583" s="48">
        <v>23197.59</v>
      </c>
      <c r="F583" s="48"/>
      <c r="G583" s="48">
        <v>0</v>
      </c>
      <c r="H583" s="48"/>
      <c r="I583" s="48">
        <v>5859.22</v>
      </c>
      <c r="J583" s="48"/>
      <c r="K583" s="48">
        <v>0</v>
      </c>
      <c r="L583" s="48"/>
      <c r="M583" s="48">
        <v>0</v>
      </c>
      <c r="N583" s="48"/>
      <c r="O583" s="48">
        <v>0</v>
      </c>
      <c r="P583" s="48"/>
      <c r="Q583" s="48">
        <v>1057.74</v>
      </c>
      <c r="R583" s="48"/>
      <c r="S583" s="48">
        <v>7556.2</v>
      </c>
      <c r="T583" s="48"/>
      <c r="U583" s="48">
        <v>0</v>
      </c>
      <c r="V583" s="48"/>
      <c r="W583" s="48">
        <v>0</v>
      </c>
      <c r="X583" s="48"/>
      <c r="Y583" s="48">
        <v>0</v>
      </c>
      <c r="Z583" s="48"/>
      <c r="AA583" s="48">
        <v>0</v>
      </c>
      <c r="AB583" s="48"/>
      <c r="AC583" s="48">
        <v>0</v>
      </c>
      <c r="AD583" s="48"/>
      <c r="AE583" s="48">
        <v>12664.25</v>
      </c>
      <c r="AF583" s="48"/>
      <c r="AG583" s="48">
        <v>0</v>
      </c>
      <c r="AH583" s="19">
        <f t="shared" si="30"/>
        <v>50335</v>
      </c>
      <c r="AI583" s="48">
        <f t="shared" si="31"/>
        <v>50335</v>
      </c>
    </row>
    <row r="584" spans="1:35" x14ac:dyDescent="0.2">
      <c r="A584" s="1" t="s">
        <v>527</v>
      </c>
      <c r="C584" s="1" t="s">
        <v>521</v>
      </c>
      <c r="E584" s="48">
        <v>3967.02</v>
      </c>
      <c r="F584" s="48"/>
      <c r="G584" s="48">
        <v>11381.46</v>
      </c>
      <c r="H584" s="48"/>
      <c r="I584" s="48">
        <v>4965.6099999999997</v>
      </c>
      <c r="J584" s="48"/>
      <c r="K584" s="48">
        <v>0</v>
      </c>
      <c r="L584" s="48"/>
      <c r="M584" s="48">
        <v>0</v>
      </c>
      <c r="N584" s="48"/>
      <c r="O584" s="48">
        <v>60</v>
      </c>
      <c r="P584" s="48"/>
      <c r="Q584" s="48">
        <v>4.8099999999999996</v>
      </c>
      <c r="R584" s="48"/>
      <c r="S584" s="48">
        <v>5109.49</v>
      </c>
      <c r="T584" s="48"/>
      <c r="U584" s="48">
        <v>0</v>
      </c>
      <c r="V584" s="48"/>
      <c r="W584" s="48">
        <v>0</v>
      </c>
      <c r="X584" s="48"/>
      <c r="Y584" s="48">
        <v>0</v>
      </c>
      <c r="Z584" s="48"/>
      <c r="AA584" s="48">
        <v>0</v>
      </c>
      <c r="AB584" s="48"/>
      <c r="AC584" s="48">
        <v>0</v>
      </c>
      <c r="AD584" s="48"/>
      <c r="AE584" s="48">
        <v>0</v>
      </c>
      <c r="AF584" s="48"/>
      <c r="AG584" s="48">
        <v>0</v>
      </c>
      <c r="AH584" s="19">
        <f t="shared" si="30"/>
        <v>25488.39</v>
      </c>
      <c r="AI584" s="48">
        <f t="shared" si="31"/>
        <v>25488.39</v>
      </c>
    </row>
    <row r="585" spans="1:35" x14ac:dyDescent="0.2">
      <c r="A585" s="1" t="s">
        <v>810</v>
      </c>
      <c r="C585" s="1" t="s">
        <v>327</v>
      </c>
      <c r="E585" s="48">
        <v>28398.93</v>
      </c>
      <c r="F585" s="48"/>
      <c r="G585" s="48">
        <v>0</v>
      </c>
      <c r="H585" s="48"/>
      <c r="I585" s="48">
        <v>11594.7</v>
      </c>
      <c r="J585" s="48"/>
      <c r="K585" s="48">
        <v>0</v>
      </c>
      <c r="L585" s="48"/>
      <c r="M585" s="48">
        <v>0</v>
      </c>
      <c r="N585" s="48"/>
      <c r="O585" s="48">
        <v>3176.44</v>
      </c>
      <c r="P585" s="48"/>
      <c r="Q585" s="48">
        <v>160.07</v>
      </c>
      <c r="R585" s="48"/>
      <c r="S585" s="48">
        <v>1301.24</v>
      </c>
      <c r="T585" s="48"/>
      <c r="U585" s="48">
        <v>0</v>
      </c>
      <c r="V585" s="48"/>
      <c r="W585" s="48">
        <v>0</v>
      </c>
      <c r="X585" s="48"/>
      <c r="Y585" s="48">
        <v>0</v>
      </c>
      <c r="Z585" s="48"/>
      <c r="AA585" s="48">
        <v>0</v>
      </c>
      <c r="AB585" s="48"/>
      <c r="AC585" s="48">
        <v>0</v>
      </c>
      <c r="AD585" s="48"/>
      <c r="AE585" s="48">
        <v>0</v>
      </c>
      <c r="AF585" s="48"/>
      <c r="AG585" s="48">
        <v>0</v>
      </c>
      <c r="AH585" s="19">
        <f t="shared" si="30"/>
        <v>44631.380000000005</v>
      </c>
      <c r="AI585" s="48">
        <f t="shared" si="31"/>
        <v>44631.380000000005</v>
      </c>
    </row>
    <row r="586" spans="1:35" x14ac:dyDescent="0.2">
      <c r="A586" s="1" t="s">
        <v>528</v>
      </c>
      <c r="C586" s="1" t="s">
        <v>521</v>
      </c>
      <c r="E586" s="48">
        <v>109480</v>
      </c>
      <c r="F586" s="48"/>
      <c r="G586" s="48">
        <v>485744</v>
      </c>
      <c r="H586" s="48"/>
      <c r="I586" s="48">
        <v>51469</v>
      </c>
      <c r="J586" s="48"/>
      <c r="K586" s="48">
        <v>0</v>
      </c>
      <c r="L586" s="48"/>
      <c r="M586" s="48">
        <v>130933</v>
      </c>
      <c r="N586" s="48"/>
      <c r="O586" s="48">
        <v>10234</v>
      </c>
      <c r="P586" s="48"/>
      <c r="Q586" s="48">
        <v>1531</v>
      </c>
      <c r="R586" s="48"/>
      <c r="S586" s="48">
        <v>22488</v>
      </c>
      <c r="T586" s="48"/>
      <c r="U586" s="48">
        <v>0</v>
      </c>
      <c r="V586" s="48"/>
      <c r="W586" s="48">
        <v>0</v>
      </c>
      <c r="X586" s="48"/>
      <c r="Y586" s="48">
        <v>0</v>
      </c>
      <c r="Z586" s="48"/>
      <c r="AA586" s="48">
        <v>317616</v>
      </c>
      <c r="AB586" s="48"/>
      <c r="AC586" s="48">
        <v>0</v>
      </c>
      <c r="AD586" s="48"/>
      <c r="AE586" s="48">
        <v>0</v>
      </c>
      <c r="AF586" s="48"/>
      <c r="AG586" s="48">
        <v>0</v>
      </c>
      <c r="AH586" s="19">
        <f t="shared" si="30"/>
        <v>1129495</v>
      </c>
      <c r="AI586" s="48">
        <f t="shared" si="31"/>
        <v>1129495</v>
      </c>
    </row>
    <row r="587" spans="1:35" x14ac:dyDescent="0.2">
      <c r="A587" s="1" t="s">
        <v>393</v>
      </c>
      <c r="C587" s="1" t="s">
        <v>390</v>
      </c>
      <c r="E587" s="48">
        <v>791973</v>
      </c>
      <c r="F587" s="48"/>
      <c r="G587" s="48">
        <v>0</v>
      </c>
      <c r="H587" s="48"/>
      <c r="I587" s="48">
        <v>359464</v>
      </c>
      <c r="J587" s="48"/>
      <c r="K587" s="48">
        <v>0</v>
      </c>
      <c r="L587" s="48"/>
      <c r="M587" s="48">
        <v>3370</v>
      </c>
      <c r="N587" s="48"/>
      <c r="O587" s="48">
        <v>580</v>
      </c>
      <c r="P587" s="48"/>
      <c r="Q587" s="48">
        <v>143</v>
      </c>
      <c r="R587" s="48"/>
      <c r="S587" s="48">
        <v>5525</v>
      </c>
      <c r="T587" s="48"/>
      <c r="U587" s="48">
        <v>0</v>
      </c>
      <c r="V587" s="48"/>
      <c r="W587" s="48">
        <v>0</v>
      </c>
      <c r="X587" s="48"/>
      <c r="Y587" s="48">
        <v>0</v>
      </c>
      <c r="Z587" s="48"/>
      <c r="AA587" s="48">
        <v>0</v>
      </c>
      <c r="AB587" s="48"/>
      <c r="AC587" s="48">
        <v>0</v>
      </c>
      <c r="AD587" s="48"/>
      <c r="AE587" s="48">
        <v>27935</v>
      </c>
      <c r="AF587" s="48"/>
      <c r="AG587" s="48">
        <v>0</v>
      </c>
      <c r="AH587" s="19">
        <f t="shared" si="30"/>
        <v>1188990</v>
      </c>
      <c r="AI587" s="48">
        <f t="shared" si="31"/>
        <v>1188990</v>
      </c>
    </row>
    <row r="588" spans="1:35" x14ac:dyDescent="0.2">
      <c r="A588" s="1" t="s">
        <v>556</v>
      </c>
      <c r="C588" s="1" t="s">
        <v>554</v>
      </c>
      <c r="E588" s="48">
        <v>43180.43</v>
      </c>
      <c r="F588" s="48"/>
      <c r="G588" s="48">
        <v>253487.38</v>
      </c>
      <c r="H588" s="48"/>
      <c r="I588" s="48">
        <v>47728.63</v>
      </c>
      <c r="J588" s="48"/>
      <c r="K588" s="48">
        <v>0</v>
      </c>
      <c r="L588" s="48"/>
      <c r="M588" s="48">
        <v>1375</v>
      </c>
      <c r="N588" s="48"/>
      <c r="O588" s="48">
        <v>19969.79</v>
      </c>
      <c r="P588" s="48"/>
      <c r="Q588" s="48">
        <v>410.86</v>
      </c>
      <c r="R588" s="48"/>
      <c r="S588" s="48">
        <v>10116.77</v>
      </c>
      <c r="T588" s="48"/>
      <c r="U588" s="48">
        <v>0</v>
      </c>
      <c r="V588" s="48"/>
      <c r="W588" s="48">
        <v>0</v>
      </c>
      <c r="X588" s="48"/>
      <c r="Y588" s="48">
        <v>7102.38</v>
      </c>
      <c r="Z588" s="48"/>
      <c r="AA588" s="48">
        <v>0</v>
      </c>
      <c r="AB588" s="48"/>
      <c r="AC588" s="48">
        <v>0</v>
      </c>
      <c r="AD588" s="48"/>
      <c r="AE588" s="48">
        <v>0</v>
      </c>
      <c r="AF588" s="48"/>
      <c r="AG588" s="48">
        <v>0</v>
      </c>
      <c r="AH588" s="19">
        <f t="shared" si="30"/>
        <v>383371.24</v>
      </c>
      <c r="AI588" s="48">
        <f t="shared" si="31"/>
        <v>383371.24</v>
      </c>
    </row>
    <row r="589" spans="1:35" x14ac:dyDescent="0.2">
      <c r="A589" s="1" t="s">
        <v>181</v>
      </c>
      <c r="C589" s="1" t="s">
        <v>241</v>
      </c>
      <c r="E589" s="48">
        <v>56896.67</v>
      </c>
      <c r="F589" s="48"/>
      <c r="G589" s="48">
        <v>0</v>
      </c>
      <c r="H589" s="48"/>
      <c r="I589" s="48">
        <v>34183.83</v>
      </c>
      <c r="J589" s="48"/>
      <c r="K589" s="48">
        <v>0</v>
      </c>
      <c r="L589" s="48"/>
      <c r="M589" s="48">
        <v>0</v>
      </c>
      <c r="N589" s="48"/>
      <c r="O589" s="48">
        <v>3343.37</v>
      </c>
      <c r="P589" s="48"/>
      <c r="Q589" s="48">
        <v>32.07</v>
      </c>
      <c r="R589" s="48"/>
      <c r="S589" s="48">
        <v>0</v>
      </c>
      <c r="T589" s="48"/>
      <c r="U589" s="48">
        <v>0</v>
      </c>
      <c r="V589" s="48"/>
      <c r="W589" s="48">
        <v>0</v>
      </c>
      <c r="X589" s="48"/>
      <c r="Y589" s="48">
        <v>0</v>
      </c>
      <c r="Z589" s="48"/>
      <c r="AA589" s="48">
        <v>0</v>
      </c>
      <c r="AB589" s="48"/>
      <c r="AC589" s="48">
        <v>0</v>
      </c>
      <c r="AD589" s="48"/>
      <c r="AE589" s="48">
        <v>0</v>
      </c>
      <c r="AF589" s="48"/>
      <c r="AG589" s="48">
        <v>0</v>
      </c>
      <c r="AH589" s="19">
        <f t="shared" si="30"/>
        <v>94455.94</v>
      </c>
      <c r="AI589" s="48">
        <f t="shared" si="31"/>
        <v>94455.94</v>
      </c>
    </row>
    <row r="590" spans="1:35" x14ac:dyDescent="0.2">
      <c r="A590" s="1" t="s">
        <v>61</v>
      </c>
      <c r="C590" s="1" t="s">
        <v>327</v>
      </c>
      <c r="E590" s="48">
        <v>32243.5</v>
      </c>
      <c r="F590" s="48"/>
      <c r="G590" s="48">
        <v>99793.57</v>
      </c>
      <c r="H590" s="48"/>
      <c r="I590" s="48">
        <v>15154.58</v>
      </c>
      <c r="J590" s="48"/>
      <c r="K590" s="48">
        <v>0</v>
      </c>
      <c r="L590" s="48"/>
      <c r="M590" s="48">
        <v>0</v>
      </c>
      <c r="N590" s="48"/>
      <c r="O590" s="48">
        <v>6862.35</v>
      </c>
      <c r="P590" s="48"/>
      <c r="Q590" s="48">
        <v>505.46</v>
      </c>
      <c r="R590" s="48"/>
      <c r="S590" s="48">
        <v>3296.53</v>
      </c>
      <c r="T590" s="48"/>
      <c r="U590" s="48">
        <v>0</v>
      </c>
      <c r="V590" s="48"/>
      <c r="W590" s="48">
        <v>0</v>
      </c>
      <c r="X590" s="48"/>
      <c r="Y590" s="48">
        <v>0</v>
      </c>
      <c r="Z590" s="48"/>
      <c r="AA590" s="48">
        <v>0</v>
      </c>
      <c r="AB590" s="48"/>
      <c r="AC590" s="48">
        <v>0</v>
      </c>
      <c r="AD590" s="48"/>
      <c r="AE590" s="48">
        <v>0</v>
      </c>
      <c r="AF590" s="48"/>
      <c r="AG590" s="48">
        <v>0</v>
      </c>
      <c r="AH590" s="19">
        <f t="shared" si="30"/>
        <v>157855.99</v>
      </c>
      <c r="AI590" s="48">
        <f t="shared" si="31"/>
        <v>157855.99</v>
      </c>
    </row>
    <row r="591" spans="1:35" x14ac:dyDescent="0.2">
      <c r="A591" s="1" t="s">
        <v>529</v>
      </c>
      <c r="C591" s="1" t="s">
        <v>521</v>
      </c>
      <c r="E591" s="48">
        <v>276731</v>
      </c>
      <c r="F591" s="48"/>
      <c r="G591" s="48">
        <v>897782</v>
      </c>
      <c r="H591" s="48"/>
      <c r="I591" s="48">
        <v>136474</v>
      </c>
      <c r="J591" s="48"/>
      <c r="K591" s="48">
        <v>0</v>
      </c>
      <c r="L591" s="48"/>
      <c r="M591" s="48">
        <v>9911</v>
      </c>
      <c r="N591" s="48"/>
      <c r="O591" s="48">
        <v>3313</v>
      </c>
      <c r="P591" s="48"/>
      <c r="Q591" s="48">
        <v>3230</v>
      </c>
      <c r="R591" s="48"/>
      <c r="S591" s="48">
        <v>15594</v>
      </c>
      <c r="T591" s="48"/>
      <c r="U591" s="48">
        <v>0</v>
      </c>
      <c r="V591" s="48"/>
      <c r="W591" s="48">
        <v>0</v>
      </c>
      <c r="X591" s="48"/>
      <c r="Y591" s="48">
        <v>0</v>
      </c>
      <c r="Z591" s="48"/>
      <c r="AA591" s="48">
        <v>0</v>
      </c>
      <c r="AB591" s="48"/>
      <c r="AC591" s="48">
        <v>0</v>
      </c>
      <c r="AD591" s="48"/>
      <c r="AE591" s="48">
        <v>0</v>
      </c>
      <c r="AF591" s="48"/>
      <c r="AG591" s="48">
        <v>0</v>
      </c>
      <c r="AH591" s="19">
        <f t="shared" si="30"/>
        <v>1343035</v>
      </c>
      <c r="AI591" s="48">
        <f t="shared" si="31"/>
        <v>1343035</v>
      </c>
    </row>
    <row r="592" spans="1:35" x14ac:dyDescent="0.2">
      <c r="A592" s="1" t="s">
        <v>164</v>
      </c>
      <c r="C592" s="1" t="s">
        <v>455</v>
      </c>
      <c r="E592" s="48">
        <v>62072.25</v>
      </c>
      <c r="F592" s="48"/>
      <c r="G592" s="48">
        <v>0</v>
      </c>
      <c r="H592" s="48"/>
      <c r="I592" s="48">
        <v>10785.09</v>
      </c>
      <c r="J592" s="48"/>
      <c r="K592" s="48">
        <v>0</v>
      </c>
      <c r="L592" s="48"/>
      <c r="M592" s="48">
        <v>0</v>
      </c>
      <c r="N592" s="48"/>
      <c r="O592" s="48">
        <v>0</v>
      </c>
      <c r="P592" s="48"/>
      <c r="Q592" s="48">
        <v>5.61</v>
      </c>
      <c r="R592" s="48"/>
      <c r="S592" s="48">
        <v>0</v>
      </c>
      <c r="T592" s="48"/>
      <c r="U592" s="48">
        <v>0</v>
      </c>
      <c r="V592" s="48"/>
      <c r="W592" s="48">
        <v>0</v>
      </c>
      <c r="X592" s="48"/>
      <c r="Y592" s="48">
        <v>0</v>
      </c>
      <c r="Z592" s="48"/>
      <c r="AA592" s="48">
        <v>0</v>
      </c>
      <c r="AB592" s="48"/>
      <c r="AC592" s="48">
        <v>0</v>
      </c>
      <c r="AD592" s="48"/>
      <c r="AE592" s="48">
        <v>0</v>
      </c>
      <c r="AF592" s="48"/>
      <c r="AG592" s="48">
        <v>0</v>
      </c>
      <c r="AH592" s="19">
        <f t="shared" si="30"/>
        <v>72862.95</v>
      </c>
      <c r="AI592" s="48">
        <f t="shared" si="31"/>
        <v>72862.95</v>
      </c>
    </row>
    <row r="593" spans="1:35" x14ac:dyDescent="0.2">
      <c r="A593" s="1" t="s">
        <v>45</v>
      </c>
      <c r="C593" s="1" t="s">
        <v>283</v>
      </c>
      <c r="E593" s="48">
        <v>3283.37</v>
      </c>
      <c r="F593" s="48"/>
      <c r="G593" s="48">
        <v>0</v>
      </c>
      <c r="H593" s="48"/>
      <c r="I593" s="48">
        <v>12319.37</v>
      </c>
      <c r="J593" s="48"/>
      <c r="K593" s="48">
        <v>0</v>
      </c>
      <c r="L593" s="48"/>
      <c r="M593" s="48">
        <v>0</v>
      </c>
      <c r="N593" s="48"/>
      <c r="O593" s="48">
        <v>0</v>
      </c>
      <c r="P593" s="48"/>
      <c r="Q593" s="48">
        <v>0</v>
      </c>
      <c r="R593" s="48"/>
      <c r="S593" s="48">
        <v>0</v>
      </c>
      <c r="T593" s="48"/>
      <c r="U593" s="48">
        <v>0</v>
      </c>
      <c r="V593" s="48"/>
      <c r="W593" s="48">
        <v>0</v>
      </c>
      <c r="X593" s="48"/>
      <c r="Y593" s="48">
        <v>0</v>
      </c>
      <c r="Z593" s="48"/>
      <c r="AA593" s="48">
        <v>0</v>
      </c>
      <c r="AB593" s="48"/>
      <c r="AC593" s="48">
        <v>0</v>
      </c>
      <c r="AD593" s="48"/>
      <c r="AE593" s="48">
        <v>0</v>
      </c>
      <c r="AF593" s="48"/>
      <c r="AG593" s="48">
        <v>0</v>
      </c>
      <c r="AH593" s="19">
        <f t="shared" si="30"/>
        <v>15602.740000000002</v>
      </c>
      <c r="AI593" s="48">
        <f t="shared" si="31"/>
        <v>15602.740000000002</v>
      </c>
    </row>
    <row r="594" spans="1:35" x14ac:dyDescent="0.2">
      <c r="A594" s="1" t="s">
        <v>323</v>
      </c>
      <c r="C594" s="1" t="s">
        <v>320</v>
      </c>
      <c r="E594" s="48">
        <v>250768</v>
      </c>
      <c r="F594" s="48"/>
      <c r="G594" s="48">
        <v>2235542</v>
      </c>
      <c r="H594" s="48"/>
      <c r="I594" s="48">
        <v>128887</v>
      </c>
      <c r="J594" s="48"/>
      <c r="K594" s="48">
        <v>0</v>
      </c>
      <c r="L594" s="48"/>
      <c r="M594" s="48">
        <v>0</v>
      </c>
      <c r="N594" s="48"/>
      <c r="O594" s="48">
        <v>425541</v>
      </c>
      <c r="P594" s="48"/>
      <c r="Q594" s="48">
        <v>14162</v>
      </c>
      <c r="R594" s="48"/>
      <c r="S594" s="48">
        <v>75534</v>
      </c>
      <c r="T594" s="48"/>
      <c r="U594" s="48">
        <v>0</v>
      </c>
      <c r="V594" s="48"/>
      <c r="W594" s="48">
        <v>1127774</v>
      </c>
      <c r="X594" s="48"/>
      <c r="Y594" s="48">
        <v>0</v>
      </c>
      <c r="Z594" s="48"/>
      <c r="AA594" s="48">
        <v>0</v>
      </c>
      <c r="AB594" s="48"/>
      <c r="AC594" s="48">
        <v>0</v>
      </c>
      <c r="AD594" s="48"/>
      <c r="AE594" s="48">
        <v>0</v>
      </c>
      <c r="AF594" s="48"/>
      <c r="AG594" s="48">
        <v>0</v>
      </c>
      <c r="AH594" s="19">
        <f t="shared" si="30"/>
        <v>4258208</v>
      </c>
      <c r="AI594" s="48">
        <f t="shared" si="31"/>
        <v>4258208</v>
      </c>
    </row>
    <row r="595" spans="1:35" x14ac:dyDescent="0.2">
      <c r="A595" s="1" t="s">
        <v>336</v>
      </c>
      <c r="C595" s="1" t="s">
        <v>332</v>
      </c>
      <c r="E595" s="48">
        <v>110406.94</v>
      </c>
      <c r="F595" s="48"/>
      <c r="G595" s="48">
        <v>1206384.96</v>
      </c>
      <c r="H595" s="48"/>
      <c r="I595" s="48">
        <v>98309.4</v>
      </c>
      <c r="J595" s="48"/>
      <c r="K595" s="48">
        <v>66695.509999999995</v>
      </c>
      <c r="L595" s="48"/>
      <c r="M595" s="48">
        <v>22970.35</v>
      </c>
      <c r="N595" s="48"/>
      <c r="O595" s="48">
        <v>51964.23</v>
      </c>
      <c r="P595" s="48"/>
      <c r="Q595" s="48">
        <v>9317.32</v>
      </c>
      <c r="R595" s="48"/>
      <c r="S595" s="48">
        <v>13103.56</v>
      </c>
      <c r="T595" s="48"/>
      <c r="U595" s="48">
        <v>0</v>
      </c>
      <c r="V595" s="48"/>
      <c r="W595" s="48">
        <v>0</v>
      </c>
      <c r="X595" s="48"/>
      <c r="Y595" s="48">
        <v>0</v>
      </c>
      <c r="Z595" s="48"/>
      <c r="AA595" s="48">
        <v>0</v>
      </c>
      <c r="AB595" s="48"/>
      <c r="AC595" s="48">
        <v>0</v>
      </c>
      <c r="AD595" s="48"/>
      <c r="AE595" s="48">
        <v>0</v>
      </c>
      <c r="AF595" s="48"/>
      <c r="AG595" s="48">
        <v>6646.7</v>
      </c>
      <c r="AH595" s="19">
        <f t="shared" si="30"/>
        <v>1579152.27</v>
      </c>
      <c r="AI595" s="48">
        <f t="shared" si="31"/>
        <v>1585798.97</v>
      </c>
    </row>
    <row r="596" spans="1:35" x14ac:dyDescent="0.2">
      <c r="A596" s="1" t="s">
        <v>248</v>
      </c>
      <c r="C596" s="1" t="s">
        <v>566</v>
      </c>
      <c r="E596" s="48">
        <v>45806.57</v>
      </c>
      <c r="F596" s="48"/>
      <c r="G596" s="48">
        <v>0</v>
      </c>
      <c r="H596" s="48"/>
      <c r="I596" s="48">
        <v>12940.45</v>
      </c>
      <c r="J596" s="48"/>
      <c r="K596" s="48">
        <v>0</v>
      </c>
      <c r="L596" s="48"/>
      <c r="M596" s="48">
        <v>5015.25</v>
      </c>
      <c r="N596" s="48"/>
      <c r="O596" s="48">
        <v>2249.75</v>
      </c>
      <c r="P596" s="48"/>
      <c r="Q596" s="48">
        <v>561.1</v>
      </c>
      <c r="R596" s="48"/>
      <c r="S596" s="48">
        <v>33985.199999999997</v>
      </c>
      <c r="T596" s="48"/>
      <c r="U596" s="48">
        <v>0</v>
      </c>
      <c r="V596" s="48"/>
      <c r="W596" s="48">
        <v>0</v>
      </c>
      <c r="X596" s="48"/>
      <c r="Y596" s="48">
        <v>0</v>
      </c>
      <c r="Z596" s="48"/>
      <c r="AA596" s="48">
        <v>68961.62</v>
      </c>
      <c r="AB596" s="48"/>
      <c r="AC596" s="48">
        <v>0</v>
      </c>
      <c r="AD596" s="48"/>
      <c r="AE596" s="48">
        <v>0</v>
      </c>
      <c r="AF596" s="48"/>
      <c r="AG596" s="48">
        <v>0</v>
      </c>
      <c r="AH596" s="19">
        <f t="shared" si="30"/>
        <v>169519.94</v>
      </c>
      <c r="AI596" s="48">
        <f t="shared" si="31"/>
        <v>169519.94</v>
      </c>
    </row>
    <row r="597" spans="1:35" x14ac:dyDescent="0.2">
      <c r="A597" s="1" t="s">
        <v>147</v>
      </c>
      <c r="C597" s="1" t="s">
        <v>431</v>
      </c>
      <c r="E597" s="48">
        <v>23282.11</v>
      </c>
      <c r="F597" s="48"/>
      <c r="G597" s="48">
        <v>0</v>
      </c>
      <c r="H597" s="48"/>
      <c r="I597" s="48">
        <v>45442.37</v>
      </c>
      <c r="J597" s="48"/>
      <c r="K597" s="48">
        <v>0</v>
      </c>
      <c r="L597" s="48"/>
      <c r="M597" s="48">
        <v>110.86</v>
      </c>
      <c r="N597" s="48"/>
      <c r="O597" s="48">
        <v>22441.8</v>
      </c>
      <c r="P597" s="48"/>
      <c r="Q597" s="48">
        <v>335.52</v>
      </c>
      <c r="R597" s="48"/>
      <c r="S597" s="48">
        <v>930.8</v>
      </c>
      <c r="T597" s="48"/>
      <c r="U597" s="48">
        <v>0</v>
      </c>
      <c r="V597" s="48"/>
      <c r="W597" s="48">
        <v>0</v>
      </c>
      <c r="X597" s="48"/>
      <c r="Y597" s="48">
        <v>0</v>
      </c>
      <c r="Z597" s="48"/>
      <c r="AA597" s="48">
        <v>0</v>
      </c>
      <c r="AB597" s="48"/>
      <c r="AC597" s="48">
        <v>0</v>
      </c>
      <c r="AD597" s="48"/>
      <c r="AE597" s="48">
        <v>6450</v>
      </c>
      <c r="AF597" s="48"/>
      <c r="AG597" s="48">
        <v>0</v>
      </c>
      <c r="AH597" s="19">
        <f t="shared" si="30"/>
        <v>98993.460000000021</v>
      </c>
      <c r="AI597" s="48">
        <f t="shared" si="31"/>
        <v>98993.460000000021</v>
      </c>
    </row>
    <row r="598" spans="1:35" x14ac:dyDescent="0.2">
      <c r="A598" s="1" t="s">
        <v>176</v>
      </c>
      <c r="C598" s="1" t="s">
        <v>467</v>
      </c>
      <c r="E598" s="48">
        <v>12552.1</v>
      </c>
      <c r="F598" s="48"/>
      <c r="G598" s="48">
        <v>0</v>
      </c>
      <c r="H598" s="48"/>
      <c r="I598" s="48">
        <v>11921.44</v>
      </c>
      <c r="J598" s="48"/>
      <c r="K598" s="48">
        <v>0</v>
      </c>
      <c r="L598" s="48"/>
      <c r="M598" s="48">
        <v>1750</v>
      </c>
      <c r="N598" s="48"/>
      <c r="O598" s="48">
        <v>2762.12</v>
      </c>
      <c r="P598" s="48"/>
      <c r="Q598" s="48">
        <v>35.630000000000003</v>
      </c>
      <c r="R598" s="48"/>
      <c r="S598" s="48">
        <v>59.8</v>
      </c>
      <c r="T598" s="48"/>
      <c r="U598" s="48">
        <v>0</v>
      </c>
      <c r="V598" s="48"/>
      <c r="W598" s="48">
        <v>0</v>
      </c>
      <c r="X598" s="48"/>
      <c r="Y598" s="48">
        <v>0</v>
      </c>
      <c r="Z598" s="48"/>
      <c r="AA598" s="48">
        <v>0</v>
      </c>
      <c r="AB598" s="48"/>
      <c r="AC598" s="48">
        <v>0</v>
      </c>
      <c r="AD598" s="48"/>
      <c r="AE598" s="48">
        <v>0</v>
      </c>
      <c r="AF598" s="48"/>
      <c r="AG598" s="48">
        <v>0</v>
      </c>
      <c r="AH598" s="19">
        <f t="shared" si="30"/>
        <v>29081.09</v>
      </c>
      <c r="AI598" s="48">
        <f t="shared" si="31"/>
        <v>29081.09</v>
      </c>
    </row>
    <row r="599" spans="1:35" x14ac:dyDescent="0.2">
      <c r="A599" s="1" t="s">
        <v>357</v>
      </c>
      <c r="C599" s="1" t="s">
        <v>351</v>
      </c>
      <c r="E599" s="48">
        <v>1064220.06</v>
      </c>
      <c r="F599" s="48"/>
      <c r="G599" s="48">
        <v>0</v>
      </c>
      <c r="H599" s="48"/>
      <c r="I599" s="48">
        <v>294660.64</v>
      </c>
      <c r="J599" s="48"/>
      <c r="K599" s="48">
        <v>0</v>
      </c>
      <c r="L599" s="48"/>
      <c r="M599" s="48">
        <v>0</v>
      </c>
      <c r="N599" s="48"/>
      <c r="O599" s="48">
        <v>111364.23</v>
      </c>
      <c r="P599" s="48"/>
      <c r="Q599" s="48">
        <v>1361.75</v>
      </c>
      <c r="R599" s="48"/>
      <c r="S599" s="48">
        <v>50158.45</v>
      </c>
      <c r="T599" s="48"/>
      <c r="U599" s="48">
        <v>0</v>
      </c>
      <c r="V599" s="48"/>
      <c r="W599" s="48">
        <v>0</v>
      </c>
      <c r="X599" s="48"/>
      <c r="Y599" s="48">
        <v>0</v>
      </c>
      <c r="Z599" s="48"/>
      <c r="AA599" s="48">
        <v>0</v>
      </c>
      <c r="AB599" s="48"/>
      <c r="AC599" s="48">
        <v>0</v>
      </c>
      <c r="AD599" s="48"/>
      <c r="AE599" s="48">
        <v>0</v>
      </c>
      <c r="AF599" s="48"/>
      <c r="AG599" s="48">
        <v>0</v>
      </c>
      <c r="AH599" s="19">
        <f t="shared" si="30"/>
        <v>1521765.1300000001</v>
      </c>
      <c r="AI599" s="48">
        <f t="shared" si="31"/>
        <v>1521765.1300000001</v>
      </c>
    </row>
    <row r="600" spans="1:35" x14ac:dyDescent="0.2">
      <c r="A600" s="1" t="s">
        <v>466</v>
      </c>
      <c r="C600" s="1" t="s">
        <v>464</v>
      </c>
      <c r="E600" s="48">
        <v>83656.73</v>
      </c>
      <c r="F600" s="48"/>
      <c r="G600" s="48">
        <v>0</v>
      </c>
      <c r="H600" s="48"/>
      <c r="I600" s="48">
        <v>20888.939999999999</v>
      </c>
      <c r="J600" s="48"/>
      <c r="K600" s="48">
        <v>0</v>
      </c>
      <c r="L600" s="48"/>
      <c r="M600" s="48">
        <v>0</v>
      </c>
      <c r="N600" s="48"/>
      <c r="O600" s="48">
        <v>46048.47</v>
      </c>
      <c r="P600" s="48"/>
      <c r="Q600" s="48">
        <v>3768.63</v>
      </c>
      <c r="R600" s="48"/>
      <c r="S600" s="48">
        <v>7536.81</v>
      </c>
      <c r="T600" s="48"/>
      <c r="U600" s="48">
        <v>0</v>
      </c>
      <c r="V600" s="48"/>
      <c r="W600" s="48">
        <v>0</v>
      </c>
      <c r="X600" s="48"/>
      <c r="Y600" s="48">
        <v>800</v>
      </c>
      <c r="Z600" s="48"/>
      <c r="AA600" s="48">
        <v>0</v>
      </c>
      <c r="AB600" s="48"/>
      <c r="AC600" s="48">
        <v>0</v>
      </c>
      <c r="AD600" s="48"/>
      <c r="AE600" s="48">
        <v>0</v>
      </c>
      <c r="AF600" s="48"/>
      <c r="AG600" s="48">
        <v>0</v>
      </c>
      <c r="AH600" s="19">
        <f t="shared" si="30"/>
        <v>162699.58000000002</v>
      </c>
      <c r="AI600" s="48">
        <f t="shared" si="31"/>
        <v>162699.58000000002</v>
      </c>
    </row>
    <row r="601" spans="1:35" x14ac:dyDescent="0.2">
      <c r="A601" s="1" t="s">
        <v>62</v>
      </c>
      <c r="C601" s="1" t="s">
        <v>327</v>
      </c>
      <c r="E601" s="48">
        <v>10479.370000000001</v>
      </c>
      <c r="F601" s="48"/>
      <c r="G601" s="48">
        <v>52492.32</v>
      </c>
      <c r="H601" s="48"/>
      <c r="I601" s="48">
        <v>71253.55</v>
      </c>
      <c r="J601" s="48"/>
      <c r="K601" s="48">
        <v>0</v>
      </c>
      <c r="L601" s="48"/>
      <c r="M601" s="48">
        <v>0</v>
      </c>
      <c r="N601" s="48"/>
      <c r="O601" s="48">
        <v>0</v>
      </c>
      <c r="P601" s="48"/>
      <c r="Q601" s="48">
        <v>530.29999999999995</v>
      </c>
      <c r="R601" s="48"/>
      <c r="S601" s="48">
        <v>3640.68</v>
      </c>
      <c r="T601" s="48"/>
      <c r="U601" s="48">
        <v>0</v>
      </c>
      <c r="V601" s="48"/>
      <c r="W601" s="48">
        <v>0</v>
      </c>
      <c r="X601" s="48"/>
      <c r="Y601" s="48">
        <v>0</v>
      </c>
      <c r="Z601" s="48"/>
      <c r="AA601" s="48">
        <v>0</v>
      </c>
      <c r="AB601" s="48"/>
      <c r="AC601" s="48">
        <v>0</v>
      </c>
      <c r="AD601" s="48"/>
      <c r="AE601" s="48">
        <v>0</v>
      </c>
      <c r="AF601" s="48"/>
      <c r="AG601" s="48">
        <v>0</v>
      </c>
      <c r="AH601" s="19">
        <f t="shared" si="30"/>
        <v>138396.21999999997</v>
      </c>
      <c r="AI601" s="48">
        <f t="shared" si="31"/>
        <v>138396.21999999997</v>
      </c>
    </row>
    <row r="602" spans="1:35" x14ac:dyDescent="0.2">
      <c r="A602" s="1" t="s">
        <v>403</v>
      </c>
      <c r="C602" s="1" t="s">
        <v>399</v>
      </c>
      <c r="E602" s="48">
        <v>263734</v>
      </c>
      <c r="F602" s="48"/>
      <c r="G602" s="48">
        <v>89280</v>
      </c>
      <c r="H602" s="48"/>
      <c r="I602" s="48">
        <v>32521</v>
      </c>
      <c r="J602" s="48"/>
      <c r="K602" s="48">
        <v>0</v>
      </c>
      <c r="L602" s="48"/>
      <c r="M602" s="48">
        <v>0</v>
      </c>
      <c r="N602" s="48"/>
      <c r="O602" s="48">
        <v>13845</v>
      </c>
      <c r="P602" s="48"/>
      <c r="Q602" s="48">
        <v>144</v>
      </c>
      <c r="R602" s="48"/>
      <c r="S602" s="48">
        <v>75489</v>
      </c>
      <c r="T602" s="48"/>
      <c r="U602" s="48">
        <v>0</v>
      </c>
      <c r="V602" s="48"/>
      <c r="W602" s="48">
        <v>0</v>
      </c>
      <c r="X602" s="48"/>
      <c r="Y602" s="48">
        <v>0</v>
      </c>
      <c r="Z602" s="48"/>
      <c r="AA602" s="48">
        <v>0</v>
      </c>
      <c r="AB602" s="48"/>
      <c r="AC602" s="48">
        <v>0</v>
      </c>
      <c r="AD602" s="48"/>
      <c r="AE602" s="48">
        <v>0</v>
      </c>
      <c r="AF602" s="48"/>
      <c r="AG602" s="48">
        <v>0</v>
      </c>
      <c r="AH602" s="19">
        <f t="shared" si="30"/>
        <v>475013</v>
      </c>
      <c r="AI602" s="48">
        <f t="shared" si="31"/>
        <v>475013</v>
      </c>
    </row>
    <row r="603" spans="1:35" x14ac:dyDescent="0.2">
      <c r="A603" s="1" t="s">
        <v>727</v>
      </c>
      <c r="C603" s="1" t="s">
        <v>289</v>
      </c>
      <c r="E603" s="48">
        <v>2465.71</v>
      </c>
      <c r="F603" s="48"/>
      <c r="G603" s="48">
        <v>1210.3800000000001</v>
      </c>
      <c r="H603" s="48"/>
      <c r="I603" s="48">
        <v>6874.73</v>
      </c>
      <c r="J603" s="48"/>
      <c r="K603" s="48">
        <v>0</v>
      </c>
      <c r="L603" s="48"/>
      <c r="M603" s="48">
        <v>100</v>
      </c>
      <c r="N603" s="48"/>
      <c r="O603" s="48">
        <v>0</v>
      </c>
      <c r="P603" s="48"/>
      <c r="Q603" s="48">
        <v>0.31</v>
      </c>
      <c r="R603" s="48"/>
      <c r="S603" s="48">
        <v>71.13</v>
      </c>
      <c r="T603" s="48"/>
      <c r="U603" s="48">
        <v>0</v>
      </c>
      <c r="V603" s="48"/>
      <c r="W603" s="48">
        <v>0</v>
      </c>
      <c r="X603" s="48"/>
      <c r="Y603" s="48">
        <v>0</v>
      </c>
      <c r="Z603" s="48"/>
      <c r="AA603" s="48">
        <v>0</v>
      </c>
      <c r="AB603" s="48"/>
      <c r="AC603" s="48">
        <v>0</v>
      </c>
      <c r="AD603" s="48"/>
      <c r="AE603" s="48">
        <v>0</v>
      </c>
      <c r="AF603" s="48"/>
      <c r="AG603" s="48">
        <v>0</v>
      </c>
      <c r="AH603" s="19">
        <f t="shared" si="30"/>
        <v>10722.259999999998</v>
      </c>
      <c r="AI603" s="48">
        <f t="shared" si="31"/>
        <v>10722.259999999998</v>
      </c>
    </row>
    <row r="604" spans="1:35" x14ac:dyDescent="0.2">
      <c r="A604" s="1" t="s">
        <v>564</v>
      </c>
      <c r="C604" s="1" t="s">
        <v>558</v>
      </c>
      <c r="E604" s="48">
        <v>23343.599999999999</v>
      </c>
      <c r="F604" s="48"/>
      <c r="G604" s="48">
        <v>94500.73</v>
      </c>
      <c r="H604" s="48"/>
      <c r="I604" s="48">
        <v>6388.21</v>
      </c>
      <c r="J604" s="48"/>
      <c r="K604" s="48">
        <v>0</v>
      </c>
      <c r="L604" s="48"/>
      <c r="M604" s="48">
        <v>0</v>
      </c>
      <c r="N604" s="48"/>
      <c r="O604" s="48">
        <v>4270.71</v>
      </c>
      <c r="P604" s="48"/>
      <c r="Q604" s="48">
        <v>8.14</v>
      </c>
      <c r="R604" s="48"/>
      <c r="S604" s="48">
        <v>3632</v>
      </c>
      <c r="T604" s="48"/>
      <c r="U604" s="48">
        <v>0</v>
      </c>
      <c r="V604" s="48"/>
      <c r="W604" s="48">
        <v>0</v>
      </c>
      <c r="X604" s="48"/>
      <c r="Y604" s="48">
        <v>0</v>
      </c>
      <c r="Z604" s="48"/>
      <c r="AA604" s="48">
        <v>0</v>
      </c>
      <c r="AB604" s="48"/>
      <c r="AC604" s="48">
        <v>0</v>
      </c>
      <c r="AD604" s="48"/>
      <c r="AE604" s="48">
        <v>0</v>
      </c>
      <c r="AF604" s="48"/>
      <c r="AG604" s="48">
        <v>0</v>
      </c>
      <c r="AH604" s="19">
        <f t="shared" si="30"/>
        <v>132143.39000000001</v>
      </c>
      <c r="AI604" s="48">
        <f t="shared" si="31"/>
        <v>132143.39000000001</v>
      </c>
    </row>
    <row r="605" spans="1:35" x14ac:dyDescent="0.2">
      <c r="A605" s="1" t="s">
        <v>814</v>
      </c>
      <c r="C605" s="1" t="s">
        <v>253</v>
      </c>
      <c r="E605" s="48">
        <v>17206</v>
      </c>
      <c r="F605" s="48"/>
      <c r="G605" s="48">
        <v>0</v>
      </c>
      <c r="H605" s="48"/>
      <c r="I605" s="48">
        <v>9308</v>
      </c>
      <c r="J605" s="48"/>
      <c r="K605" s="48">
        <v>0</v>
      </c>
      <c r="L605" s="48"/>
      <c r="M605" s="48">
        <v>0</v>
      </c>
      <c r="N605" s="48"/>
      <c r="O605" s="48">
        <v>13677</v>
      </c>
      <c r="P605" s="48"/>
      <c r="Q605" s="48">
        <v>5</v>
      </c>
      <c r="R605" s="48"/>
      <c r="S605" s="48">
        <v>3478</v>
      </c>
      <c r="T605" s="48"/>
      <c r="U605" s="48">
        <v>0</v>
      </c>
      <c r="V605" s="48"/>
      <c r="W605" s="48">
        <v>0</v>
      </c>
      <c r="X605" s="48"/>
      <c r="Y605" s="48">
        <v>0</v>
      </c>
      <c r="Z605" s="48"/>
      <c r="AA605" s="48">
        <v>1014</v>
      </c>
      <c r="AB605" s="48"/>
      <c r="AC605" s="48">
        <v>0</v>
      </c>
      <c r="AD605" s="48"/>
      <c r="AE605" s="48">
        <v>0</v>
      </c>
      <c r="AF605" s="48"/>
      <c r="AG605" s="48">
        <v>0</v>
      </c>
      <c r="AH605" s="19">
        <f t="shared" si="30"/>
        <v>44688</v>
      </c>
      <c r="AI605" s="48">
        <f t="shared" si="31"/>
        <v>44688</v>
      </c>
    </row>
    <row r="606" spans="1:35" x14ac:dyDescent="0.2">
      <c r="A606" s="1" t="s">
        <v>521</v>
      </c>
      <c r="C606" s="1" t="s">
        <v>521</v>
      </c>
      <c r="E606" s="48">
        <v>59568.95</v>
      </c>
      <c r="F606" s="48"/>
      <c r="G606" s="48">
        <v>67886.64</v>
      </c>
      <c r="H606" s="48"/>
      <c r="I606" s="48">
        <v>20418.88</v>
      </c>
      <c r="J606" s="48"/>
      <c r="K606" s="48">
        <v>350</v>
      </c>
      <c r="L606" s="48"/>
      <c r="M606" s="48">
        <v>57961.86</v>
      </c>
      <c r="N606" s="48"/>
      <c r="O606" s="48">
        <v>1687.01</v>
      </c>
      <c r="P606" s="48"/>
      <c r="Q606" s="48">
        <v>979.26</v>
      </c>
      <c r="R606" s="48"/>
      <c r="S606" s="48">
        <v>5764.39</v>
      </c>
      <c r="T606" s="48"/>
      <c r="U606" s="48">
        <v>0</v>
      </c>
      <c r="V606" s="48"/>
      <c r="W606" s="48">
        <v>0</v>
      </c>
      <c r="X606" s="48"/>
      <c r="Y606" s="48">
        <v>0</v>
      </c>
      <c r="Z606" s="48"/>
      <c r="AA606" s="48">
        <v>0</v>
      </c>
      <c r="AB606" s="48"/>
      <c r="AC606" s="48">
        <v>0</v>
      </c>
      <c r="AD606" s="48"/>
      <c r="AE606" s="48">
        <v>0</v>
      </c>
      <c r="AF606" s="48"/>
      <c r="AG606" s="48">
        <v>0</v>
      </c>
      <c r="AH606" s="19">
        <f t="shared" si="30"/>
        <v>214616.99000000005</v>
      </c>
      <c r="AI606" s="48">
        <f t="shared" si="31"/>
        <v>214616.99000000005</v>
      </c>
    </row>
    <row r="607" spans="1:35" x14ac:dyDescent="0.2">
      <c r="A607" s="1" t="s">
        <v>314</v>
      </c>
      <c r="C607" s="1" t="s">
        <v>306</v>
      </c>
      <c r="E607" s="48">
        <v>137199</v>
      </c>
      <c r="F607" s="48"/>
      <c r="G607" s="48">
        <v>201702</v>
      </c>
      <c r="H607" s="48"/>
      <c r="I607" s="48">
        <v>13675</v>
      </c>
      <c r="J607" s="48"/>
      <c r="K607" s="48">
        <v>0</v>
      </c>
      <c r="L607" s="48"/>
      <c r="M607" s="48">
        <v>107915</v>
      </c>
      <c r="N607" s="48"/>
      <c r="O607" s="48">
        <v>36780</v>
      </c>
      <c r="P607" s="48"/>
      <c r="Q607" s="48">
        <v>845</v>
      </c>
      <c r="R607" s="48"/>
      <c r="S607" s="48">
        <v>6270</v>
      </c>
      <c r="T607" s="48"/>
      <c r="U607" s="48">
        <v>0</v>
      </c>
      <c r="V607" s="48"/>
      <c r="W607" s="48">
        <v>0</v>
      </c>
      <c r="X607" s="48"/>
      <c r="Y607" s="48">
        <v>0</v>
      </c>
      <c r="Z607" s="48"/>
      <c r="AA607" s="48">
        <v>0</v>
      </c>
      <c r="AB607" s="48"/>
      <c r="AC607" s="48">
        <v>0</v>
      </c>
      <c r="AD607" s="48"/>
      <c r="AE607" s="48">
        <v>0</v>
      </c>
      <c r="AF607" s="48"/>
      <c r="AG607" s="48">
        <v>0</v>
      </c>
      <c r="AH607" s="19">
        <f t="shared" si="30"/>
        <v>504386</v>
      </c>
      <c r="AI607" s="48">
        <f t="shared" si="31"/>
        <v>504386</v>
      </c>
    </row>
    <row r="608" spans="1:35" x14ac:dyDescent="0.2">
      <c r="A608" s="1" t="s">
        <v>530</v>
      </c>
      <c r="C608" s="1" t="s">
        <v>531</v>
      </c>
      <c r="E608" s="48">
        <v>7801.38</v>
      </c>
      <c r="F608" s="48"/>
      <c r="G608" s="48">
        <v>0</v>
      </c>
      <c r="H608" s="48"/>
      <c r="I608" s="48">
        <v>4795.95</v>
      </c>
      <c r="J608" s="48"/>
      <c r="K608" s="48">
        <v>0</v>
      </c>
      <c r="L608" s="48"/>
      <c r="M608" s="48">
        <v>320</v>
      </c>
      <c r="N608" s="48"/>
      <c r="O608" s="48">
        <v>1556</v>
      </c>
      <c r="P608" s="48"/>
      <c r="Q608" s="48">
        <v>2.86</v>
      </c>
      <c r="R608" s="48"/>
      <c r="S608" s="48">
        <v>127.51</v>
      </c>
      <c r="T608" s="48"/>
      <c r="U608" s="48">
        <v>0</v>
      </c>
      <c r="V608" s="48"/>
      <c r="W608" s="48">
        <v>0</v>
      </c>
      <c r="X608" s="48"/>
      <c r="Y608" s="48">
        <v>0</v>
      </c>
      <c r="Z608" s="48"/>
      <c r="AA608" s="48">
        <v>0</v>
      </c>
      <c r="AB608" s="48"/>
      <c r="AC608" s="48">
        <v>0</v>
      </c>
      <c r="AD608" s="48"/>
      <c r="AE608" s="48">
        <v>0</v>
      </c>
      <c r="AF608" s="48"/>
      <c r="AG608" s="48">
        <v>0</v>
      </c>
      <c r="AH608" s="19">
        <f t="shared" si="30"/>
        <v>14603.7</v>
      </c>
      <c r="AI608" s="48">
        <f t="shared" si="31"/>
        <v>14603.7</v>
      </c>
    </row>
    <row r="609" spans="1:35" x14ac:dyDescent="0.2"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19"/>
      <c r="AI609" s="48"/>
    </row>
    <row r="610" spans="1:35" ht="12.75" x14ac:dyDescent="0.2"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19"/>
      <c r="AI610" s="88" t="s">
        <v>733</v>
      </c>
    </row>
    <row r="611" spans="1:35" x14ac:dyDescent="0.2"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19"/>
      <c r="AI611" s="48"/>
    </row>
    <row r="612" spans="1:35" x14ac:dyDescent="0.2">
      <c r="A612" s="1" t="s">
        <v>13</v>
      </c>
      <c r="C612" s="1" t="s">
        <v>257</v>
      </c>
      <c r="E612" s="68">
        <v>5207.0600000000004</v>
      </c>
      <c r="F612" s="48"/>
      <c r="G612" s="68">
        <v>0</v>
      </c>
      <c r="H612" s="68"/>
      <c r="I612" s="68">
        <v>33623.9</v>
      </c>
      <c r="J612" s="68"/>
      <c r="K612" s="68">
        <v>0</v>
      </c>
      <c r="L612" s="68"/>
      <c r="M612" s="68">
        <v>0</v>
      </c>
      <c r="N612" s="68"/>
      <c r="O612" s="68">
        <v>0</v>
      </c>
      <c r="P612" s="68"/>
      <c r="Q612" s="68">
        <v>43.32</v>
      </c>
      <c r="R612" s="68"/>
      <c r="S612" s="68">
        <v>1123.8499999999999</v>
      </c>
      <c r="T612" s="68"/>
      <c r="U612" s="68">
        <v>0</v>
      </c>
      <c r="V612" s="68"/>
      <c r="W612" s="68">
        <v>0</v>
      </c>
      <c r="X612" s="68"/>
      <c r="Y612" s="68">
        <v>0</v>
      </c>
      <c r="Z612" s="68"/>
      <c r="AA612" s="68">
        <v>0</v>
      </c>
      <c r="AB612" s="68"/>
      <c r="AC612" s="68">
        <v>0</v>
      </c>
      <c r="AD612" s="68"/>
      <c r="AE612" s="68">
        <v>0</v>
      </c>
      <c r="AF612" s="68"/>
      <c r="AG612" s="68">
        <v>0</v>
      </c>
      <c r="AH612" s="68">
        <f t="shared" si="30"/>
        <v>39998.129999999997</v>
      </c>
      <c r="AI612" s="68">
        <f t="shared" si="31"/>
        <v>39998.129999999997</v>
      </c>
    </row>
    <row r="613" spans="1:35" x14ac:dyDescent="0.2">
      <c r="A613" s="1" t="s">
        <v>71</v>
      </c>
      <c r="C613" s="1" t="s">
        <v>329</v>
      </c>
      <c r="E613" s="48">
        <v>9238.85</v>
      </c>
      <c r="F613" s="48"/>
      <c r="G613" s="48">
        <v>987969.77</v>
      </c>
      <c r="H613" s="48"/>
      <c r="I613" s="48">
        <v>78661</v>
      </c>
      <c r="J613" s="48"/>
      <c r="K613" s="48">
        <v>0</v>
      </c>
      <c r="L613" s="48"/>
      <c r="M613" s="48">
        <v>0</v>
      </c>
      <c r="N613" s="48"/>
      <c r="O613" s="48">
        <v>39309.99</v>
      </c>
      <c r="P613" s="48"/>
      <c r="Q613" s="48">
        <v>301.63</v>
      </c>
      <c r="R613" s="48"/>
      <c r="S613" s="48">
        <v>4688.63</v>
      </c>
      <c r="T613" s="48"/>
      <c r="U613" s="48">
        <v>0</v>
      </c>
      <c r="V613" s="48"/>
      <c r="W613" s="48">
        <v>0</v>
      </c>
      <c r="X613" s="48"/>
      <c r="Y613" s="48">
        <v>0</v>
      </c>
      <c r="Z613" s="48"/>
      <c r="AA613" s="48">
        <v>0</v>
      </c>
      <c r="AB613" s="48"/>
      <c r="AC613" s="48">
        <v>0</v>
      </c>
      <c r="AD613" s="48"/>
      <c r="AE613" s="48">
        <v>0</v>
      </c>
      <c r="AF613" s="48"/>
      <c r="AG613" s="48">
        <v>0</v>
      </c>
      <c r="AH613" s="19">
        <f t="shared" si="30"/>
        <v>1120169.8699999999</v>
      </c>
      <c r="AI613" s="48">
        <f t="shared" si="31"/>
        <v>1120169.8699999999</v>
      </c>
    </row>
    <row r="614" spans="1:35" x14ac:dyDescent="0.2">
      <c r="A614" s="1" t="s">
        <v>413</v>
      </c>
      <c r="C614" s="1" t="s">
        <v>408</v>
      </c>
      <c r="E614" s="48">
        <v>73124</v>
      </c>
      <c r="F614" s="48"/>
      <c r="G614" s="48">
        <v>451723</v>
      </c>
      <c r="H614" s="48"/>
      <c r="I614" s="48">
        <v>55266</v>
      </c>
      <c r="J614" s="48"/>
      <c r="K614" s="48">
        <v>0</v>
      </c>
      <c r="L614" s="48"/>
      <c r="M614" s="48">
        <v>955</v>
      </c>
      <c r="N614" s="48"/>
      <c r="O614" s="48">
        <v>21890</v>
      </c>
      <c r="P614" s="48"/>
      <c r="Q614" s="48">
        <v>2591</v>
      </c>
      <c r="R614" s="48"/>
      <c r="S614" s="48">
        <v>35826</v>
      </c>
      <c r="T614" s="48"/>
      <c r="U614" s="48">
        <v>0</v>
      </c>
      <c r="V614" s="48"/>
      <c r="W614" s="48">
        <v>0</v>
      </c>
      <c r="X614" s="48"/>
      <c r="Y614" s="48">
        <v>0</v>
      </c>
      <c r="Z614" s="48"/>
      <c r="AA614" s="48">
        <v>0</v>
      </c>
      <c r="AB614" s="48"/>
      <c r="AC614" s="48">
        <v>0</v>
      </c>
      <c r="AD614" s="48"/>
      <c r="AE614" s="48">
        <v>0</v>
      </c>
      <c r="AF614" s="48"/>
      <c r="AG614" s="48">
        <v>0</v>
      </c>
      <c r="AH614" s="19">
        <f t="shared" si="30"/>
        <v>641375</v>
      </c>
      <c r="AI614" s="48">
        <f t="shared" si="31"/>
        <v>641375</v>
      </c>
    </row>
    <row r="615" spans="1:35" x14ac:dyDescent="0.2">
      <c r="A615" s="1" t="s">
        <v>416</v>
      </c>
      <c r="C615" s="1" t="s">
        <v>414</v>
      </c>
      <c r="E615" s="48">
        <v>3483</v>
      </c>
      <c r="F615" s="48"/>
      <c r="G615" s="48">
        <v>33575</v>
      </c>
      <c r="H615" s="48"/>
      <c r="I615" s="48">
        <v>1010</v>
      </c>
      <c r="J615" s="48"/>
      <c r="K615" s="48">
        <v>0</v>
      </c>
      <c r="L615" s="48"/>
      <c r="M615" s="48">
        <v>0</v>
      </c>
      <c r="N615" s="48"/>
      <c r="O615" s="48">
        <v>1207</v>
      </c>
      <c r="P615" s="48"/>
      <c r="Q615" s="48">
        <v>72</v>
      </c>
      <c r="R615" s="48"/>
      <c r="S615" s="48">
        <v>0</v>
      </c>
      <c r="T615" s="48"/>
      <c r="U615" s="48">
        <v>0</v>
      </c>
      <c r="V615" s="48"/>
      <c r="W615" s="48">
        <v>0</v>
      </c>
      <c r="X615" s="48"/>
      <c r="Y615" s="48">
        <v>0</v>
      </c>
      <c r="Z615" s="48"/>
      <c r="AA615" s="48">
        <v>0</v>
      </c>
      <c r="AB615" s="48"/>
      <c r="AC615" s="48">
        <v>0</v>
      </c>
      <c r="AD615" s="48"/>
      <c r="AE615" s="48">
        <v>0</v>
      </c>
      <c r="AF615" s="48"/>
      <c r="AG615" s="48">
        <v>0</v>
      </c>
      <c r="AH615" s="19">
        <f t="shared" si="30"/>
        <v>39347</v>
      </c>
      <c r="AI615" s="48">
        <f t="shared" si="31"/>
        <v>39347</v>
      </c>
    </row>
    <row r="616" spans="1:35" x14ac:dyDescent="0.2">
      <c r="A616" s="1" t="s">
        <v>303</v>
      </c>
      <c r="C616" s="1" t="s">
        <v>293</v>
      </c>
      <c r="E616" s="48">
        <v>1056740</v>
      </c>
      <c r="F616" s="48"/>
      <c r="G616" s="48">
        <v>11596380</v>
      </c>
      <c r="H616" s="48"/>
      <c r="I616" s="48">
        <v>228458</v>
      </c>
      <c r="J616" s="48"/>
      <c r="K616" s="48">
        <v>0</v>
      </c>
      <c r="L616" s="48"/>
      <c r="M616" s="48">
        <v>179823</v>
      </c>
      <c r="N616" s="48"/>
      <c r="O616" s="48">
        <v>176544</v>
      </c>
      <c r="P616" s="48"/>
      <c r="Q616" s="48">
        <v>5028</v>
      </c>
      <c r="R616" s="48"/>
      <c r="S616" s="48">
        <v>111108</v>
      </c>
      <c r="T616" s="48"/>
      <c r="U616" s="48">
        <v>0</v>
      </c>
      <c r="V616" s="48"/>
      <c r="W616" s="48">
        <v>0</v>
      </c>
      <c r="X616" s="48"/>
      <c r="Y616" s="48">
        <v>0</v>
      </c>
      <c r="Z616" s="48"/>
      <c r="AA616" s="48">
        <v>0</v>
      </c>
      <c r="AB616" s="48"/>
      <c r="AC616" s="48">
        <v>252109</v>
      </c>
      <c r="AD616" s="48"/>
      <c r="AE616" s="48">
        <v>0</v>
      </c>
      <c r="AF616" s="48"/>
      <c r="AG616" s="48">
        <v>0</v>
      </c>
      <c r="AH616" s="19">
        <f t="shared" si="30"/>
        <v>13606190</v>
      </c>
      <c r="AI616" s="48">
        <f t="shared" si="31"/>
        <v>13606190</v>
      </c>
    </row>
    <row r="617" spans="1:35" x14ac:dyDescent="0.2">
      <c r="A617" s="1" t="s">
        <v>72</v>
      </c>
      <c r="C617" s="1" t="s">
        <v>329</v>
      </c>
      <c r="E617" s="48">
        <v>54544.97</v>
      </c>
      <c r="F617" s="48"/>
      <c r="G617" s="48">
        <v>73302.03</v>
      </c>
      <c r="H617" s="48"/>
      <c r="I617" s="48">
        <v>73517.45</v>
      </c>
      <c r="J617" s="48"/>
      <c r="K617" s="48">
        <v>0</v>
      </c>
      <c r="L617" s="48"/>
      <c r="M617" s="48">
        <v>0</v>
      </c>
      <c r="N617" s="48"/>
      <c r="O617" s="48">
        <v>34063.07</v>
      </c>
      <c r="P617" s="48"/>
      <c r="Q617" s="48">
        <v>25.9</v>
      </c>
      <c r="R617" s="48"/>
      <c r="S617" s="48">
        <v>3696.15</v>
      </c>
      <c r="T617" s="48"/>
      <c r="U617" s="48">
        <v>0</v>
      </c>
      <c r="V617" s="48"/>
      <c r="W617" s="48">
        <v>0</v>
      </c>
      <c r="X617" s="48"/>
      <c r="Y617" s="48">
        <v>0</v>
      </c>
      <c r="Z617" s="48"/>
      <c r="AA617" s="48">
        <v>0</v>
      </c>
      <c r="AB617" s="48"/>
      <c r="AC617" s="48">
        <v>0</v>
      </c>
      <c r="AD617" s="48"/>
      <c r="AE617" s="48">
        <v>1559.15</v>
      </c>
      <c r="AF617" s="48"/>
      <c r="AG617" s="48">
        <v>0</v>
      </c>
      <c r="AH617" s="19">
        <f t="shared" si="30"/>
        <v>240708.72</v>
      </c>
      <c r="AI617" s="48">
        <f t="shared" si="31"/>
        <v>240708.72</v>
      </c>
    </row>
    <row r="618" spans="1:35" x14ac:dyDescent="0.2">
      <c r="A618" s="1" t="s">
        <v>363</v>
      </c>
      <c r="C618" s="1" t="s">
        <v>360</v>
      </c>
      <c r="E618" s="48">
        <v>23079.41</v>
      </c>
      <c r="F618" s="48"/>
      <c r="G618" s="48">
        <v>0</v>
      </c>
      <c r="H618" s="48"/>
      <c r="I618" s="48">
        <v>23070.2</v>
      </c>
      <c r="J618" s="48"/>
      <c r="K618" s="48">
        <v>0</v>
      </c>
      <c r="L618" s="48"/>
      <c r="M618" s="48">
        <v>0</v>
      </c>
      <c r="N618" s="48"/>
      <c r="O618" s="48">
        <v>451</v>
      </c>
      <c r="P618" s="48"/>
      <c r="Q618" s="48">
        <v>41.24</v>
      </c>
      <c r="R618" s="48"/>
      <c r="S618" s="48">
        <v>742.03</v>
      </c>
      <c r="T618" s="48"/>
      <c r="U618" s="48">
        <v>0</v>
      </c>
      <c r="V618" s="48"/>
      <c r="W618" s="48">
        <v>0</v>
      </c>
      <c r="X618" s="48"/>
      <c r="Y618" s="48">
        <v>0</v>
      </c>
      <c r="Z618" s="48"/>
      <c r="AA618" s="48">
        <v>0</v>
      </c>
      <c r="AB618" s="48"/>
      <c r="AC618" s="48">
        <v>0</v>
      </c>
      <c r="AD618" s="48"/>
      <c r="AE618" s="48">
        <v>0</v>
      </c>
      <c r="AF618" s="48"/>
      <c r="AG618" s="48">
        <v>0</v>
      </c>
      <c r="AH618" s="19">
        <f t="shared" si="30"/>
        <v>47383.88</v>
      </c>
      <c r="AI618" s="48">
        <f t="shared" si="31"/>
        <v>47383.88</v>
      </c>
    </row>
    <row r="619" spans="1:35" x14ac:dyDescent="0.2">
      <c r="A619" s="1" t="s">
        <v>364</v>
      </c>
      <c r="C619" s="1" t="s">
        <v>360</v>
      </c>
      <c r="E619" s="48">
        <v>23087.9</v>
      </c>
      <c r="F619" s="48"/>
      <c r="G619" s="48">
        <v>0</v>
      </c>
      <c r="H619" s="48"/>
      <c r="I619" s="48">
        <v>37126.199999999997</v>
      </c>
      <c r="J619" s="48"/>
      <c r="K619" s="48">
        <v>0</v>
      </c>
      <c r="L619" s="48"/>
      <c r="M619" s="48">
        <v>0</v>
      </c>
      <c r="N619" s="48"/>
      <c r="O619" s="48">
        <v>250</v>
      </c>
      <c r="P619" s="48"/>
      <c r="Q619" s="48">
        <v>354.16</v>
      </c>
      <c r="R619" s="48"/>
      <c r="S619" s="48">
        <v>396.76</v>
      </c>
      <c r="T619" s="48"/>
      <c r="U619" s="48">
        <v>0</v>
      </c>
      <c r="V619" s="48"/>
      <c r="W619" s="48">
        <v>0</v>
      </c>
      <c r="X619" s="48"/>
      <c r="Y619" s="48">
        <v>0</v>
      </c>
      <c r="Z619" s="48"/>
      <c r="AA619" s="48">
        <v>0</v>
      </c>
      <c r="AB619" s="48"/>
      <c r="AC619" s="48">
        <v>0</v>
      </c>
      <c r="AD619" s="48"/>
      <c r="AE619" s="48">
        <v>0</v>
      </c>
      <c r="AF619" s="48"/>
      <c r="AG619" s="48">
        <v>0</v>
      </c>
      <c r="AH619" s="19">
        <f t="shared" si="30"/>
        <v>61215.020000000004</v>
      </c>
      <c r="AI619" s="48">
        <f t="shared" si="31"/>
        <v>61215.020000000004</v>
      </c>
    </row>
    <row r="620" spans="1:35" x14ac:dyDescent="0.2">
      <c r="A620" s="1" t="s">
        <v>535</v>
      </c>
      <c r="C620" s="1" t="s">
        <v>532</v>
      </c>
      <c r="E620" s="48">
        <v>2718.96</v>
      </c>
      <c r="F620" s="48"/>
      <c r="G620" s="48">
        <v>0</v>
      </c>
      <c r="H620" s="48"/>
      <c r="I620" s="48">
        <v>9141.0400000000009</v>
      </c>
      <c r="J620" s="48"/>
      <c r="K620" s="48">
        <v>0</v>
      </c>
      <c r="L620" s="48"/>
      <c r="M620" s="48">
        <v>0</v>
      </c>
      <c r="N620" s="48"/>
      <c r="O620" s="48">
        <v>0</v>
      </c>
      <c r="P620" s="48"/>
      <c r="Q620" s="48">
        <v>15.07</v>
      </c>
      <c r="R620" s="48"/>
      <c r="S620" s="48">
        <v>500</v>
      </c>
      <c r="T620" s="48"/>
      <c r="U620" s="48">
        <v>0</v>
      </c>
      <c r="V620" s="48"/>
      <c r="W620" s="48">
        <v>0</v>
      </c>
      <c r="X620" s="48"/>
      <c r="Y620" s="48">
        <v>0</v>
      </c>
      <c r="Z620" s="48"/>
      <c r="AA620" s="48">
        <v>0</v>
      </c>
      <c r="AB620" s="48"/>
      <c r="AC620" s="48">
        <v>0</v>
      </c>
      <c r="AD620" s="48"/>
      <c r="AE620" s="48">
        <v>0</v>
      </c>
      <c r="AF620" s="48"/>
      <c r="AG620" s="48">
        <v>0</v>
      </c>
      <c r="AH620" s="19">
        <f t="shared" ref="AH620:AH659" si="32">SUM(D620:AF620)</f>
        <v>12375.07</v>
      </c>
      <c r="AI620" s="48">
        <f t="shared" ref="AI620:AI659" si="33">SUM(E620:AG620)</f>
        <v>12375.07</v>
      </c>
    </row>
    <row r="621" spans="1:35" x14ac:dyDescent="0.2">
      <c r="A621" s="6" t="s">
        <v>474</v>
      </c>
      <c r="B621" s="6"/>
      <c r="C621" s="6" t="s">
        <v>472</v>
      </c>
      <c r="D621" s="6"/>
      <c r="E621" s="48">
        <v>43393</v>
      </c>
      <c r="F621" s="48"/>
      <c r="G621" s="48">
        <v>0</v>
      </c>
      <c r="H621" s="48"/>
      <c r="I621" s="48">
        <v>5847</v>
      </c>
      <c r="J621" s="48"/>
      <c r="K621" s="48">
        <v>257</v>
      </c>
      <c r="L621" s="48"/>
      <c r="M621" s="48">
        <v>0</v>
      </c>
      <c r="N621" s="48"/>
      <c r="O621" s="48">
        <v>1435</v>
      </c>
      <c r="P621" s="48"/>
      <c r="Q621" s="48">
        <v>393</v>
      </c>
      <c r="R621" s="48"/>
      <c r="S621" s="48">
        <v>12262</v>
      </c>
      <c r="T621" s="48"/>
      <c r="U621" s="48">
        <v>0</v>
      </c>
      <c r="V621" s="48"/>
      <c r="W621" s="48">
        <v>0</v>
      </c>
      <c r="X621" s="48"/>
      <c r="Y621" s="48">
        <v>0</v>
      </c>
      <c r="Z621" s="48"/>
      <c r="AA621" s="48">
        <v>0</v>
      </c>
      <c r="AB621" s="48"/>
      <c r="AC621" s="48">
        <v>0</v>
      </c>
      <c r="AD621" s="48"/>
      <c r="AE621" s="48">
        <v>0</v>
      </c>
      <c r="AF621" s="48"/>
      <c r="AG621" s="48">
        <v>0</v>
      </c>
      <c r="AH621" s="19">
        <f t="shared" si="32"/>
        <v>63587</v>
      </c>
      <c r="AI621" s="48">
        <f t="shared" si="33"/>
        <v>63587</v>
      </c>
    </row>
    <row r="622" spans="1:35" x14ac:dyDescent="0.2">
      <c r="A622" s="1" t="s">
        <v>315</v>
      </c>
      <c r="C622" s="1" t="s">
        <v>306</v>
      </c>
      <c r="E622" s="48">
        <v>73249</v>
      </c>
      <c r="F622" s="48"/>
      <c r="G622" s="48">
        <v>1507536</v>
      </c>
      <c r="H622" s="48"/>
      <c r="I622" s="48">
        <v>339367</v>
      </c>
      <c r="J622" s="48"/>
      <c r="K622" s="48">
        <v>0</v>
      </c>
      <c r="L622" s="48"/>
      <c r="M622" s="48">
        <v>0</v>
      </c>
      <c r="N622" s="48"/>
      <c r="O622" s="48">
        <v>14967</v>
      </c>
      <c r="P622" s="48"/>
      <c r="Q622" s="48">
        <v>26404</v>
      </c>
      <c r="R622" s="48"/>
      <c r="S622" s="48">
        <v>43122</v>
      </c>
      <c r="T622" s="48"/>
      <c r="U622" s="48">
        <v>0</v>
      </c>
      <c r="V622" s="48"/>
      <c r="W622" s="48">
        <v>0</v>
      </c>
      <c r="X622" s="48"/>
      <c r="Y622" s="48">
        <v>0</v>
      </c>
      <c r="Z622" s="48"/>
      <c r="AA622" s="48">
        <v>0</v>
      </c>
      <c r="AB622" s="48"/>
      <c r="AC622" s="48">
        <v>50000</v>
      </c>
      <c r="AD622" s="48"/>
      <c r="AE622" s="48">
        <v>0</v>
      </c>
      <c r="AF622" s="48"/>
      <c r="AG622" s="48">
        <v>0</v>
      </c>
      <c r="AH622" s="19">
        <f t="shared" si="32"/>
        <v>2054645</v>
      </c>
      <c r="AI622" s="48">
        <f t="shared" si="33"/>
        <v>2054645</v>
      </c>
    </row>
    <row r="623" spans="1:35" x14ac:dyDescent="0.2">
      <c r="A623" s="1" t="s">
        <v>77</v>
      </c>
      <c r="C623" s="1" t="s">
        <v>338</v>
      </c>
      <c r="E623" s="48">
        <v>13991.96</v>
      </c>
      <c r="F623" s="48"/>
      <c r="G623" s="48">
        <v>0</v>
      </c>
      <c r="H623" s="48"/>
      <c r="I623" s="48">
        <v>43824.29</v>
      </c>
      <c r="J623" s="48"/>
      <c r="K623" s="48">
        <v>0</v>
      </c>
      <c r="L623" s="48"/>
      <c r="M623" s="48">
        <v>14579</v>
      </c>
      <c r="N623" s="48"/>
      <c r="O623" s="48">
        <v>1013</v>
      </c>
      <c r="P623" s="48"/>
      <c r="Q623" s="48">
        <v>0</v>
      </c>
      <c r="R623" s="48"/>
      <c r="S623" s="48">
        <v>18585.310000000001</v>
      </c>
      <c r="T623" s="48"/>
      <c r="U623" s="48">
        <v>0</v>
      </c>
      <c r="V623" s="48"/>
      <c r="W623" s="48">
        <v>0</v>
      </c>
      <c r="X623" s="48"/>
      <c r="Y623" s="48">
        <v>0</v>
      </c>
      <c r="Z623" s="48"/>
      <c r="AA623" s="48">
        <v>0</v>
      </c>
      <c r="AB623" s="48"/>
      <c r="AC623" s="48">
        <v>0</v>
      </c>
      <c r="AD623" s="48"/>
      <c r="AE623" s="48">
        <v>0</v>
      </c>
      <c r="AF623" s="48"/>
      <c r="AG623" s="48">
        <v>0</v>
      </c>
      <c r="AH623" s="19">
        <f t="shared" si="32"/>
        <v>91993.56</v>
      </c>
      <c r="AI623" s="48">
        <f t="shared" si="33"/>
        <v>91993.56</v>
      </c>
    </row>
    <row r="624" spans="1:35" x14ac:dyDescent="0.2">
      <c r="A624" s="1" t="s">
        <v>404</v>
      </c>
      <c r="C624" s="1" t="s">
        <v>399</v>
      </c>
      <c r="E624" s="48">
        <v>614899</v>
      </c>
      <c r="F624" s="48"/>
      <c r="G624" s="48">
        <v>0</v>
      </c>
      <c r="H624" s="48"/>
      <c r="I624" s="48">
        <v>194446</v>
      </c>
      <c r="J624" s="48"/>
      <c r="K624" s="48">
        <v>0</v>
      </c>
      <c r="L624" s="48"/>
      <c r="M624" s="48">
        <v>0</v>
      </c>
      <c r="N624" s="48"/>
      <c r="O624" s="48">
        <v>4974</v>
      </c>
      <c r="P624" s="48"/>
      <c r="Q624" s="48">
        <v>398270</v>
      </c>
      <c r="R624" s="48"/>
      <c r="S624" s="48">
        <v>61380</v>
      </c>
      <c r="T624" s="48"/>
      <c r="U624" s="48">
        <v>0</v>
      </c>
      <c r="V624" s="48"/>
      <c r="W624" s="48">
        <v>0</v>
      </c>
      <c r="X624" s="48"/>
      <c r="Y624" s="48">
        <v>0</v>
      </c>
      <c r="Z624" s="48"/>
      <c r="AA624" s="48">
        <v>0</v>
      </c>
      <c r="AB624" s="48"/>
      <c r="AC624" s="48">
        <v>0</v>
      </c>
      <c r="AD624" s="48"/>
      <c r="AE624" s="48">
        <v>0</v>
      </c>
      <c r="AF624" s="48"/>
      <c r="AG624" s="48">
        <v>0</v>
      </c>
      <c r="AH624" s="19">
        <f t="shared" si="32"/>
        <v>1273969</v>
      </c>
      <c r="AI624" s="48">
        <f t="shared" si="33"/>
        <v>1273969</v>
      </c>
    </row>
    <row r="625" spans="1:35" x14ac:dyDescent="0.2">
      <c r="A625" s="1" t="s">
        <v>389</v>
      </c>
      <c r="C625" s="1" t="s">
        <v>386</v>
      </c>
      <c r="E625" s="48">
        <v>32566.06</v>
      </c>
      <c r="F625" s="48"/>
      <c r="G625" s="48">
        <v>162007.54999999999</v>
      </c>
      <c r="H625" s="48"/>
      <c r="I625" s="48">
        <v>50516.26</v>
      </c>
      <c r="J625" s="48"/>
      <c r="K625" s="48">
        <v>0</v>
      </c>
      <c r="L625" s="48"/>
      <c r="M625" s="48">
        <v>0</v>
      </c>
      <c r="N625" s="48"/>
      <c r="O625" s="48">
        <v>45737.37</v>
      </c>
      <c r="P625" s="48"/>
      <c r="Q625" s="48">
        <v>107.74</v>
      </c>
      <c r="R625" s="48"/>
      <c r="S625" s="48">
        <v>12562.53</v>
      </c>
      <c r="T625" s="48"/>
      <c r="U625" s="48">
        <v>0</v>
      </c>
      <c r="V625" s="48"/>
      <c r="W625" s="48">
        <v>0</v>
      </c>
      <c r="X625" s="48"/>
      <c r="Y625" s="48">
        <v>0</v>
      </c>
      <c r="Z625" s="48"/>
      <c r="AA625" s="48">
        <v>0</v>
      </c>
      <c r="AB625" s="48"/>
      <c r="AC625" s="48">
        <v>0</v>
      </c>
      <c r="AD625" s="48"/>
      <c r="AE625" s="48">
        <v>2039.5</v>
      </c>
      <c r="AF625" s="48"/>
      <c r="AG625" s="48">
        <v>0</v>
      </c>
      <c r="AH625" s="19">
        <f t="shared" si="32"/>
        <v>305537.01</v>
      </c>
      <c r="AI625" s="48">
        <f t="shared" si="33"/>
        <v>305537.01</v>
      </c>
    </row>
    <row r="626" spans="1:35" x14ac:dyDescent="0.2">
      <c r="A626" s="1" t="s">
        <v>243</v>
      </c>
      <c r="C626" s="1" t="s">
        <v>558</v>
      </c>
      <c r="E626" s="48">
        <v>69164.14</v>
      </c>
      <c r="F626" s="48"/>
      <c r="G626" s="48">
        <v>595485.86</v>
      </c>
      <c r="H626" s="48"/>
      <c r="I626" s="48">
        <v>78926.509999999995</v>
      </c>
      <c r="J626" s="48"/>
      <c r="K626" s="48">
        <v>2304.11</v>
      </c>
      <c r="L626" s="48"/>
      <c r="M626" s="48">
        <v>9926</v>
      </c>
      <c r="N626" s="48"/>
      <c r="O626" s="48">
        <v>37298.9</v>
      </c>
      <c r="P626" s="48"/>
      <c r="Q626" s="48">
        <v>10202.16</v>
      </c>
      <c r="R626" s="48"/>
      <c r="S626" s="48">
        <v>30331.439999999999</v>
      </c>
      <c r="T626" s="48"/>
      <c r="U626" s="48">
        <v>0</v>
      </c>
      <c r="V626" s="48"/>
      <c r="W626" s="48">
        <v>0</v>
      </c>
      <c r="X626" s="48"/>
      <c r="Y626" s="48">
        <v>0</v>
      </c>
      <c r="Z626" s="48"/>
      <c r="AA626" s="48">
        <v>0</v>
      </c>
      <c r="AB626" s="48"/>
      <c r="AC626" s="48">
        <v>0</v>
      </c>
      <c r="AD626" s="48"/>
      <c r="AE626" s="48">
        <v>0</v>
      </c>
      <c r="AF626" s="48"/>
      <c r="AG626" s="48">
        <v>0</v>
      </c>
      <c r="AH626" s="19">
        <f t="shared" si="32"/>
        <v>833639.12</v>
      </c>
      <c r="AI626" s="48">
        <f t="shared" si="33"/>
        <v>833639.12</v>
      </c>
    </row>
    <row r="627" spans="1:35" x14ac:dyDescent="0.2">
      <c r="A627" s="1" t="s">
        <v>141</v>
      </c>
      <c r="C627" s="1" t="s">
        <v>430</v>
      </c>
      <c r="E627" s="48">
        <v>35884.86</v>
      </c>
      <c r="F627" s="48"/>
      <c r="G627" s="48">
        <v>0</v>
      </c>
      <c r="H627" s="48"/>
      <c r="I627" s="48">
        <v>15160.47</v>
      </c>
      <c r="J627" s="48"/>
      <c r="K627" s="48">
        <v>0</v>
      </c>
      <c r="L627" s="48"/>
      <c r="M627" s="48">
        <v>0</v>
      </c>
      <c r="N627" s="48"/>
      <c r="O627" s="48">
        <v>565</v>
      </c>
      <c r="P627" s="48"/>
      <c r="Q627" s="48">
        <v>207.55</v>
      </c>
      <c r="R627" s="48"/>
      <c r="S627" s="48">
        <v>5317.25</v>
      </c>
      <c r="T627" s="48"/>
      <c r="U627" s="48">
        <v>0</v>
      </c>
      <c r="V627" s="48"/>
      <c r="W627" s="48">
        <v>0</v>
      </c>
      <c r="X627" s="48"/>
      <c r="Y627" s="48">
        <v>0</v>
      </c>
      <c r="Z627" s="48"/>
      <c r="AA627" s="48">
        <v>0</v>
      </c>
      <c r="AB627" s="48"/>
      <c r="AC627" s="48">
        <v>0</v>
      </c>
      <c r="AD627" s="48"/>
      <c r="AE627" s="48">
        <v>0</v>
      </c>
      <c r="AF627" s="48"/>
      <c r="AG627" s="48">
        <v>0</v>
      </c>
      <c r="AH627" s="19">
        <f t="shared" si="32"/>
        <v>57135.130000000005</v>
      </c>
      <c r="AI627" s="48">
        <f t="shared" si="33"/>
        <v>57135.130000000005</v>
      </c>
    </row>
    <row r="628" spans="1:35" x14ac:dyDescent="0.2">
      <c r="A628" s="1" t="s">
        <v>48</v>
      </c>
      <c r="C628" s="1" t="s">
        <v>293</v>
      </c>
      <c r="E628" s="48">
        <v>8424.2000000000007</v>
      </c>
      <c r="F628" s="48"/>
      <c r="G628" s="48">
        <v>3707031.29</v>
      </c>
      <c r="H628" s="48"/>
      <c r="I628" s="48">
        <v>92548.36</v>
      </c>
      <c r="J628" s="48"/>
      <c r="K628" s="48">
        <v>1714.62</v>
      </c>
      <c r="L628" s="48"/>
      <c r="M628" s="48">
        <v>174687.99</v>
      </c>
      <c r="N628" s="48"/>
      <c r="O628" s="48">
        <v>256305.63</v>
      </c>
      <c r="P628" s="48"/>
      <c r="Q628" s="48">
        <v>0</v>
      </c>
      <c r="R628" s="48"/>
      <c r="S628" s="48">
        <v>20997.19</v>
      </c>
      <c r="T628" s="48"/>
      <c r="U628" s="48">
        <v>0</v>
      </c>
      <c r="V628" s="48"/>
      <c r="W628" s="48">
        <v>0</v>
      </c>
      <c r="X628" s="48"/>
      <c r="Y628" s="48">
        <v>0</v>
      </c>
      <c r="Z628" s="48"/>
      <c r="AA628" s="48">
        <v>0</v>
      </c>
      <c r="AB628" s="48"/>
      <c r="AC628" s="48">
        <v>0</v>
      </c>
      <c r="AD628" s="48"/>
      <c r="AE628" s="48">
        <v>0</v>
      </c>
      <c r="AF628" s="48"/>
      <c r="AG628" s="48">
        <v>0</v>
      </c>
      <c r="AH628" s="19">
        <f t="shared" si="32"/>
        <v>4261709.28</v>
      </c>
      <c r="AI628" s="48">
        <f t="shared" si="33"/>
        <v>4261709.28</v>
      </c>
    </row>
    <row r="629" spans="1:35" x14ac:dyDescent="0.2">
      <c r="A629" s="1" t="s">
        <v>718</v>
      </c>
      <c r="C629" s="1" t="s">
        <v>285</v>
      </c>
      <c r="E629" s="48">
        <v>46481.17</v>
      </c>
      <c r="F629" s="48"/>
      <c r="G629" s="48">
        <v>0</v>
      </c>
      <c r="H629" s="48"/>
      <c r="I629" s="48">
        <v>24565.07</v>
      </c>
      <c r="J629" s="48"/>
      <c r="K629" s="48">
        <v>0</v>
      </c>
      <c r="L629" s="48"/>
      <c r="M629" s="48">
        <v>12180</v>
      </c>
      <c r="N629" s="48"/>
      <c r="O629" s="48">
        <v>5532.04</v>
      </c>
      <c r="P629" s="48"/>
      <c r="Q629" s="48">
        <v>758.12</v>
      </c>
      <c r="R629" s="48"/>
      <c r="S629" s="48">
        <v>13166.73</v>
      </c>
      <c r="T629" s="48"/>
      <c r="U629" s="48">
        <v>0</v>
      </c>
      <c r="V629" s="48"/>
      <c r="W629" s="48">
        <v>0</v>
      </c>
      <c r="X629" s="48"/>
      <c r="Y629" s="48">
        <v>0</v>
      </c>
      <c r="Z629" s="48"/>
      <c r="AA629" s="48">
        <v>0</v>
      </c>
      <c r="AB629" s="48"/>
      <c r="AC629" s="48">
        <v>0</v>
      </c>
      <c r="AD629" s="48"/>
      <c r="AE629" s="48">
        <v>799.97</v>
      </c>
      <c r="AF629" s="48"/>
      <c r="AG629" s="48">
        <v>0</v>
      </c>
      <c r="AH629" s="19">
        <f t="shared" si="32"/>
        <v>103483.09999999998</v>
      </c>
      <c r="AI629" s="48">
        <f t="shared" si="33"/>
        <v>103483.09999999998</v>
      </c>
    </row>
    <row r="630" spans="1:35" x14ac:dyDescent="0.2">
      <c r="A630" s="1" t="s">
        <v>46</v>
      </c>
      <c r="C630" s="1" t="s">
        <v>283</v>
      </c>
      <c r="E630" s="48">
        <v>19647.53</v>
      </c>
      <c r="F630" s="48"/>
      <c r="G630" s="48">
        <v>0</v>
      </c>
      <c r="H630" s="48"/>
      <c r="I630" s="48">
        <v>20421.8</v>
      </c>
      <c r="J630" s="48"/>
      <c r="K630" s="48">
        <v>0</v>
      </c>
      <c r="L630" s="48"/>
      <c r="M630" s="48">
        <v>0</v>
      </c>
      <c r="N630" s="48"/>
      <c r="O630" s="48">
        <v>61086.559999999998</v>
      </c>
      <c r="P630" s="48"/>
      <c r="Q630" s="48">
        <v>0</v>
      </c>
      <c r="R630" s="48"/>
      <c r="S630" s="48">
        <v>8737.61</v>
      </c>
      <c r="T630" s="48"/>
      <c r="U630" s="48">
        <v>0</v>
      </c>
      <c r="V630" s="48"/>
      <c r="W630" s="48">
        <v>0</v>
      </c>
      <c r="X630" s="48"/>
      <c r="Y630" s="48">
        <v>0</v>
      </c>
      <c r="Z630" s="48"/>
      <c r="AA630" s="48">
        <v>0</v>
      </c>
      <c r="AB630" s="48"/>
      <c r="AC630" s="48">
        <v>0</v>
      </c>
      <c r="AD630" s="48"/>
      <c r="AE630" s="48">
        <v>20000</v>
      </c>
      <c r="AF630" s="48"/>
      <c r="AG630" s="48">
        <v>0</v>
      </c>
      <c r="AH630" s="19">
        <f t="shared" si="32"/>
        <v>129893.5</v>
      </c>
      <c r="AI630" s="48">
        <f t="shared" si="33"/>
        <v>129893.5</v>
      </c>
    </row>
    <row r="631" spans="1:35" x14ac:dyDescent="0.2">
      <c r="A631" s="1" t="s">
        <v>836</v>
      </c>
      <c r="C631" s="1" t="s">
        <v>469</v>
      </c>
      <c r="E631" s="48">
        <v>1564770</v>
      </c>
      <c r="F631" s="48"/>
      <c r="G631" s="48">
        <v>0</v>
      </c>
      <c r="H631" s="48"/>
      <c r="I631" s="48">
        <v>255657</v>
      </c>
      <c r="J631" s="48"/>
      <c r="K631" s="48">
        <v>0</v>
      </c>
      <c r="L631" s="48"/>
      <c r="M631" s="48">
        <v>0</v>
      </c>
      <c r="N631" s="48"/>
      <c r="O631" s="48">
        <f>8160+77305</f>
        <v>85465</v>
      </c>
      <c r="P631" s="48"/>
      <c r="Q631" s="48">
        <v>822</v>
      </c>
      <c r="R631" s="48"/>
      <c r="S631" s="48">
        <v>13316</v>
      </c>
      <c r="T631" s="48"/>
      <c r="U631" s="48">
        <v>0</v>
      </c>
      <c r="V631" s="48"/>
      <c r="W631" s="48">
        <v>0</v>
      </c>
      <c r="X631" s="48"/>
      <c r="Y631" s="48">
        <v>0</v>
      </c>
      <c r="Z631" s="48"/>
      <c r="AA631" s="48">
        <v>0</v>
      </c>
      <c r="AB631" s="48"/>
      <c r="AC631" s="48">
        <v>0</v>
      </c>
      <c r="AD631" s="48"/>
      <c r="AE631" s="48">
        <v>0</v>
      </c>
      <c r="AF631" s="48"/>
      <c r="AG631" s="48">
        <v>0</v>
      </c>
      <c r="AH631" s="19">
        <f t="shared" si="32"/>
        <v>1920030</v>
      </c>
      <c r="AI631" s="48">
        <f t="shared" si="33"/>
        <v>1920030</v>
      </c>
    </row>
    <row r="632" spans="1:35" x14ac:dyDescent="0.2">
      <c r="A632" s="1" t="s">
        <v>547</v>
      </c>
      <c r="C632" s="1" t="s">
        <v>558</v>
      </c>
      <c r="E632" s="48">
        <v>18876.919999999998</v>
      </c>
      <c r="F632" s="48"/>
      <c r="G632" s="48">
        <v>0</v>
      </c>
      <c r="H632" s="48"/>
      <c r="I632" s="48">
        <v>29335.8</v>
      </c>
      <c r="J632" s="48"/>
      <c r="K632" s="48">
        <v>0</v>
      </c>
      <c r="L632" s="48"/>
      <c r="M632" s="48">
        <v>0</v>
      </c>
      <c r="N632" s="48"/>
      <c r="O632" s="48">
        <v>13088.14</v>
      </c>
      <c r="P632" s="48"/>
      <c r="Q632" s="48">
        <v>24.51</v>
      </c>
      <c r="R632" s="48"/>
      <c r="S632" s="48">
        <v>6343.43</v>
      </c>
      <c r="T632" s="48"/>
      <c r="U632" s="48">
        <v>0</v>
      </c>
      <c r="V632" s="48"/>
      <c r="W632" s="48">
        <v>0</v>
      </c>
      <c r="X632" s="48"/>
      <c r="Y632" s="48">
        <v>0</v>
      </c>
      <c r="Z632" s="48"/>
      <c r="AA632" s="48">
        <v>0</v>
      </c>
      <c r="AB632" s="48"/>
      <c r="AC632" s="48">
        <v>0</v>
      </c>
      <c r="AD632" s="48"/>
      <c r="AE632" s="48">
        <v>0</v>
      </c>
      <c r="AF632" s="48"/>
      <c r="AG632" s="48">
        <v>0</v>
      </c>
      <c r="AH632" s="19">
        <f t="shared" si="32"/>
        <v>67668.800000000003</v>
      </c>
      <c r="AI632" s="48">
        <f t="shared" si="33"/>
        <v>67668.800000000003</v>
      </c>
    </row>
    <row r="633" spans="1:35" x14ac:dyDescent="0.2">
      <c r="A633" s="1" t="s">
        <v>316</v>
      </c>
      <c r="C633" s="1" t="s">
        <v>306</v>
      </c>
      <c r="E633" s="48">
        <v>69991</v>
      </c>
      <c r="F633" s="48"/>
      <c r="G633" s="48">
        <v>0</v>
      </c>
      <c r="H633" s="48"/>
      <c r="I633" s="48">
        <v>42679</v>
      </c>
      <c r="J633" s="48"/>
      <c r="K633" s="48">
        <v>0</v>
      </c>
      <c r="L633" s="48"/>
      <c r="M633" s="48">
        <v>26682</v>
      </c>
      <c r="N633" s="48"/>
      <c r="O633" s="48">
        <v>7654</v>
      </c>
      <c r="P633" s="48"/>
      <c r="Q633" s="48">
        <v>0</v>
      </c>
      <c r="R633" s="48"/>
      <c r="S633" s="48">
        <v>904</v>
      </c>
      <c r="T633" s="48"/>
      <c r="U633" s="48">
        <v>0</v>
      </c>
      <c r="V633" s="48"/>
      <c r="W633" s="48">
        <v>0</v>
      </c>
      <c r="X633" s="48"/>
      <c r="Y633" s="48">
        <v>50</v>
      </c>
      <c r="Z633" s="48"/>
      <c r="AA633" s="48">
        <v>0</v>
      </c>
      <c r="AB633" s="48"/>
      <c r="AC633" s="48">
        <v>0</v>
      </c>
      <c r="AD633" s="48"/>
      <c r="AE633" s="48">
        <v>0</v>
      </c>
      <c r="AF633" s="48"/>
      <c r="AG633" s="48">
        <v>0</v>
      </c>
      <c r="AH633" s="19">
        <f t="shared" si="32"/>
        <v>147960</v>
      </c>
      <c r="AI633" s="48">
        <f t="shared" si="33"/>
        <v>147960</v>
      </c>
    </row>
    <row r="634" spans="1:35" x14ac:dyDescent="0.2">
      <c r="A634" s="17" t="s">
        <v>509</v>
      </c>
      <c r="B634" s="17"/>
      <c r="C634" s="17" t="s">
        <v>502</v>
      </c>
      <c r="D634" s="17"/>
      <c r="E634" s="48">
        <v>36621</v>
      </c>
      <c r="F634" s="48"/>
      <c r="G634" s="48">
        <v>0</v>
      </c>
      <c r="H634" s="48"/>
      <c r="I634" s="48">
        <v>24256</v>
      </c>
      <c r="J634" s="48"/>
      <c r="K634" s="48">
        <v>0</v>
      </c>
      <c r="L634" s="48"/>
      <c r="M634" s="48">
        <v>0</v>
      </c>
      <c r="N634" s="48"/>
      <c r="O634" s="48">
        <v>18305</v>
      </c>
      <c r="P634" s="48"/>
      <c r="Q634" s="48">
        <v>316</v>
      </c>
      <c r="R634" s="48"/>
      <c r="S634" s="48">
        <v>17704</v>
      </c>
      <c r="T634" s="48"/>
      <c r="U634" s="48">
        <v>0</v>
      </c>
      <c r="V634" s="48"/>
      <c r="W634" s="48">
        <v>0</v>
      </c>
      <c r="X634" s="48"/>
      <c r="Y634" s="48">
        <v>0</v>
      </c>
      <c r="Z634" s="48"/>
      <c r="AA634" s="48">
        <v>0</v>
      </c>
      <c r="AB634" s="48"/>
      <c r="AC634" s="48">
        <v>0</v>
      </c>
      <c r="AD634" s="48"/>
      <c r="AE634" s="48">
        <v>0</v>
      </c>
      <c r="AF634" s="48"/>
      <c r="AG634" s="48">
        <v>0</v>
      </c>
      <c r="AH634" s="19">
        <f t="shared" si="32"/>
        <v>97202</v>
      </c>
      <c r="AI634" s="48">
        <f t="shared" si="33"/>
        <v>97202</v>
      </c>
    </row>
    <row r="635" spans="1:35" x14ac:dyDescent="0.2">
      <c r="A635" s="1" t="s">
        <v>14</v>
      </c>
      <c r="C635" s="1" t="s">
        <v>257</v>
      </c>
      <c r="E635" s="48">
        <v>46399.34</v>
      </c>
      <c r="F635" s="48"/>
      <c r="G635" s="48">
        <v>131379.59</v>
      </c>
      <c r="H635" s="48"/>
      <c r="I635" s="48">
        <v>62703.38</v>
      </c>
      <c r="J635" s="48"/>
      <c r="K635" s="48">
        <v>0</v>
      </c>
      <c r="L635" s="48"/>
      <c r="M635" s="48">
        <v>200</v>
      </c>
      <c r="N635" s="48"/>
      <c r="O635" s="48">
        <v>16087.2</v>
      </c>
      <c r="P635" s="48"/>
      <c r="Q635" s="48">
        <v>0</v>
      </c>
      <c r="R635" s="48"/>
      <c r="S635" s="48">
        <v>3667.16</v>
      </c>
      <c r="T635" s="48"/>
      <c r="U635" s="48">
        <v>0</v>
      </c>
      <c r="V635" s="48"/>
      <c r="W635" s="48">
        <v>0</v>
      </c>
      <c r="X635" s="48"/>
      <c r="Y635" s="48">
        <v>0</v>
      </c>
      <c r="Z635" s="48"/>
      <c r="AA635" s="48">
        <v>0</v>
      </c>
      <c r="AB635" s="48"/>
      <c r="AC635" s="48">
        <v>0</v>
      </c>
      <c r="AD635" s="48"/>
      <c r="AE635" s="48">
        <v>0</v>
      </c>
      <c r="AF635" s="48"/>
      <c r="AG635" s="48">
        <v>0</v>
      </c>
      <c r="AH635" s="19">
        <f t="shared" si="32"/>
        <v>260436.67</v>
      </c>
      <c r="AI635" s="48">
        <f t="shared" si="33"/>
        <v>260436.67</v>
      </c>
    </row>
    <row r="636" spans="1:35" x14ac:dyDescent="0.2">
      <c r="A636" s="1" t="s">
        <v>543</v>
      </c>
      <c r="C636" s="1" t="s">
        <v>541</v>
      </c>
      <c r="E636" s="48">
        <v>86621</v>
      </c>
      <c r="F636" s="48"/>
      <c r="G636" s="48">
        <v>406084</v>
      </c>
      <c r="H636" s="48"/>
      <c r="I636" s="48">
        <v>236314</v>
      </c>
      <c r="J636" s="48"/>
      <c r="K636" s="48">
        <v>0</v>
      </c>
      <c r="L636" s="48"/>
      <c r="M636" s="48">
        <v>3288</v>
      </c>
      <c r="N636" s="48"/>
      <c r="O636" s="48">
        <v>113927</v>
      </c>
      <c r="P636" s="48"/>
      <c r="Q636" s="48">
        <v>1709</v>
      </c>
      <c r="R636" s="48"/>
      <c r="S636" s="48">
        <v>20370</v>
      </c>
      <c r="T636" s="48"/>
      <c r="U636" s="48">
        <v>0</v>
      </c>
      <c r="V636" s="48"/>
      <c r="W636" s="48">
        <v>0</v>
      </c>
      <c r="X636" s="48"/>
      <c r="Y636" s="48">
        <v>0</v>
      </c>
      <c r="Z636" s="48"/>
      <c r="AA636" s="48">
        <v>0</v>
      </c>
      <c r="AB636" s="48"/>
      <c r="AC636" s="48">
        <v>0</v>
      </c>
      <c r="AD636" s="48"/>
      <c r="AE636" s="48">
        <v>0</v>
      </c>
      <c r="AF636" s="48"/>
      <c r="AG636" s="48">
        <v>0</v>
      </c>
      <c r="AH636" s="19">
        <f t="shared" si="32"/>
        <v>868313</v>
      </c>
      <c r="AI636" s="48">
        <f t="shared" si="33"/>
        <v>868313</v>
      </c>
    </row>
    <row r="637" spans="1:35" x14ac:dyDescent="0.2">
      <c r="A637" s="1" t="s">
        <v>421</v>
      </c>
      <c r="C637" s="1" t="s">
        <v>419</v>
      </c>
      <c r="E637" s="48">
        <f>562977+123487</f>
        <v>686464</v>
      </c>
      <c r="F637" s="48"/>
      <c r="G637" s="48">
        <v>1127517</v>
      </c>
      <c r="H637" s="48"/>
      <c r="I637" s="48">
        <v>129369</v>
      </c>
      <c r="J637" s="48"/>
      <c r="K637" s="48">
        <v>0</v>
      </c>
      <c r="L637" s="48"/>
      <c r="M637" s="48">
        <v>40340</v>
      </c>
      <c r="N637" s="48"/>
      <c r="O637" s="48">
        <v>44789</v>
      </c>
      <c r="P637" s="48"/>
      <c r="Q637" s="48">
        <v>69693</v>
      </c>
      <c r="R637" s="48"/>
      <c r="S637" s="48">
        <f>864+63649</f>
        <v>64513</v>
      </c>
      <c r="T637" s="48"/>
      <c r="U637" s="48">
        <v>0</v>
      </c>
      <c r="V637" s="48"/>
      <c r="W637" s="48">
        <v>0</v>
      </c>
      <c r="X637" s="48"/>
      <c r="Y637" s="48">
        <v>0</v>
      </c>
      <c r="Z637" s="48"/>
      <c r="AA637" s="48">
        <v>0</v>
      </c>
      <c r="AB637" s="48"/>
      <c r="AC637" s="48">
        <v>0</v>
      </c>
      <c r="AD637" s="48"/>
      <c r="AE637" s="48">
        <v>0</v>
      </c>
      <c r="AF637" s="48"/>
      <c r="AG637" s="48">
        <v>0</v>
      </c>
      <c r="AH637" s="19">
        <f t="shared" si="32"/>
        <v>2162685</v>
      </c>
      <c r="AI637" s="48">
        <f t="shared" si="33"/>
        <v>2162685</v>
      </c>
    </row>
    <row r="638" spans="1:35" x14ac:dyDescent="0.2">
      <c r="A638" s="1" t="s">
        <v>284</v>
      </c>
      <c r="C638" s="1" t="s">
        <v>283</v>
      </c>
      <c r="E638" s="48">
        <v>76028.17</v>
      </c>
      <c r="F638" s="48"/>
      <c r="G638" s="48">
        <v>403509.16</v>
      </c>
      <c r="H638" s="48"/>
      <c r="I638" s="48">
        <v>63209.120000000003</v>
      </c>
      <c r="J638" s="48"/>
      <c r="K638" s="48">
        <v>0</v>
      </c>
      <c r="L638" s="48"/>
      <c r="M638" s="48">
        <v>89084.13</v>
      </c>
      <c r="N638" s="48"/>
      <c r="O638" s="48">
        <v>94407.25</v>
      </c>
      <c r="P638" s="48"/>
      <c r="Q638" s="48">
        <v>385.55</v>
      </c>
      <c r="R638" s="48"/>
      <c r="S638" s="48">
        <v>32351.72</v>
      </c>
      <c r="T638" s="48"/>
      <c r="U638" s="48">
        <v>0</v>
      </c>
      <c r="V638" s="48"/>
      <c r="W638" s="48">
        <v>0</v>
      </c>
      <c r="X638" s="48"/>
      <c r="Y638" s="48">
        <v>18500</v>
      </c>
      <c r="Z638" s="48"/>
      <c r="AA638" s="48">
        <v>0</v>
      </c>
      <c r="AB638" s="48"/>
      <c r="AC638" s="48">
        <v>0</v>
      </c>
      <c r="AD638" s="48"/>
      <c r="AE638" s="48">
        <v>0</v>
      </c>
      <c r="AF638" s="48"/>
      <c r="AG638" s="48">
        <v>0</v>
      </c>
      <c r="AH638" s="19">
        <f t="shared" si="32"/>
        <v>777475.1</v>
      </c>
      <c r="AI638" s="48">
        <f t="shared" si="33"/>
        <v>777475.1</v>
      </c>
    </row>
    <row r="639" spans="1:35" x14ac:dyDescent="0.2">
      <c r="A639" s="1" t="s">
        <v>475</v>
      </c>
      <c r="C639" s="1" t="s">
        <v>472</v>
      </c>
      <c r="E639" s="48">
        <v>95302</v>
      </c>
      <c r="F639" s="48"/>
      <c r="G639" s="48">
        <v>306859</v>
      </c>
      <c r="H639" s="48"/>
      <c r="I639" s="48">
        <v>92203</v>
      </c>
      <c r="J639" s="48"/>
      <c r="K639" s="48">
        <v>0</v>
      </c>
      <c r="L639" s="48"/>
      <c r="M639" s="48">
        <v>0</v>
      </c>
      <c r="N639" s="48"/>
      <c r="O639" s="48">
        <v>4225</v>
      </c>
      <c r="P639" s="48"/>
      <c r="Q639" s="48">
        <v>1935</v>
      </c>
      <c r="R639" s="48"/>
      <c r="S639" s="48">
        <v>57406</v>
      </c>
      <c r="T639" s="48"/>
      <c r="U639" s="48">
        <v>0</v>
      </c>
      <c r="V639" s="48"/>
      <c r="W639" s="48">
        <v>0</v>
      </c>
      <c r="X639" s="48"/>
      <c r="Y639" s="48">
        <v>0</v>
      </c>
      <c r="Z639" s="48"/>
      <c r="AA639" s="48">
        <v>0</v>
      </c>
      <c r="AB639" s="48"/>
      <c r="AC639" s="48">
        <v>0</v>
      </c>
      <c r="AD639" s="48"/>
      <c r="AE639" s="48">
        <v>150000</v>
      </c>
      <c r="AF639" s="48"/>
      <c r="AG639" s="48">
        <v>0</v>
      </c>
      <c r="AH639" s="19">
        <f t="shared" si="32"/>
        <v>707930</v>
      </c>
      <c r="AI639" s="48">
        <f t="shared" si="33"/>
        <v>707930</v>
      </c>
    </row>
    <row r="640" spans="1:35" x14ac:dyDescent="0.2">
      <c r="A640" s="1" t="s">
        <v>811</v>
      </c>
      <c r="C640" s="1" t="s">
        <v>472</v>
      </c>
      <c r="E640" s="48">
        <v>2457.58</v>
      </c>
      <c r="F640" s="48"/>
      <c r="G640" s="48">
        <v>21018.49</v>
      </c>
      <c r="H640" s="48"/>
      <c r="I640" s="48">
        <v>12353.1</v>
      </c>
      <c r="J640" s="48"/>
      <c r="K640" s="48">
        <v>0</v>
      </c>
      <c r="L640" s="48"/>
      <c r="M640" s="48">
        <v>550</v>
      </c>
      <c r="N640" s="48"/>
      <c r="O640" s="48">
        <v>8838.74</v>
      </c>
      <c r="P640" s="48"/>
      <c r="Q640" s="48">
        <v>40.36</v>
      </c>
      <c r="R640" s="48"/>
      <c r="S640" s="48">
        <v>1379.63</v>
      </c>
      <c r="T640" s="48"/>
      <c r="U640" s="48">
        <v>0</v>
      </c>
      <c r="V640" s="48"/>
      <c r="W640" s="48">
        <v>0</v>
      </c>
      <c r="X640" s="48"/>
      <c r="Y640" s="48">
        <v>0</v>
      </c>
      <c r="Z640" s="48"/>
      <c r="AA640" s="48">
        <v>0</v>
      </c>
      <c r="AB640" s="48"/>
      <c r="AC640" s="48">
        <v>0</v>
      </c>
      <c r="AD640" s="48"/>
      <c r="AE640" s="48">
        <v>0</v>
      </c>
      <c r="AF640" s="48"/>
      <c r="AG640" s="48">
        <v>0</v>
      </c>
      <c r="AH640" s="19">
        <f t="shared" si="32"/>
        <v>46637.899999999994</v>
      </c>
      <c r="AI640" s="48">
        <f t="shared" si="33"/>
        <v>46637.899999999994</v>
      </c>
    </row>
    <row r="641" spans="1:35" x14ac:dyDescent="0.2">
      <c r="A641" s="1" t="s">
        <v>215</v>
      </c>
      <c r="C641" s="1" t="s">
        <v>518</v>
      </c>
      <c r="E641" s="48">
        <v>29063.05</v>
      </c>
      <c r="F641" s="48"/>
      <c r="G641" s="48">
        <v>0</v>
      </c>
      <c r="H641" s="48"/>
      <c r="I641" s="48">
        <v>55898.9</v>
      </c>
      <c r="J641" s="48"/>
      <c r="K641" s="48">
        <v>0</v>
      </c>
      <c r="L641" s="48"/>
      <c r="M641" s="48">
        <v>0</v>
      </c>
      <c r="N641" s="48"/>
      <c r="O641" s="48">
        <v>12741.38</v>
      </c>
      <c r="P641" s="48"/>
      <c r="Q641" s="48">
        <v>14.44</v>
      </c>
      <c r="R641" s="48"/>
      <c r="S641" s="48">
        <v>952.98</v>
      </c>
      <c r="T641" s="48"/>
      <c r="U641" s="48">
        <v>0</v>
      </c>
      <c r="V641" s="48"/>
      <c r="W641" s="48">
        <v>0</v>
      </c>
      <c r="X641" s="48"/>
      <c r="Y641" s="48">
        <v>0</v>
      </c>
      <c r="Z641" s="48"/>
      <c r="AA641" s="48">
        <v>0</v>
      </c>
      <c r="AB641" s="48"/>
      <c r="AC641" s="48">
        <v>500</v>
      </c>
      <c r="AD641" s="48"/>
      <c r="AE641" s="48">
        <v>0</v>
      </c>
      <c r="AF641" s="48"/>
      <c r="AG641" s="48">
        <v>480</v>
      </c>
      <c r="AH641" s="19">
        <f t="shared" si="32"/>
        <v>99170.75</v>
      </c>
      <c r="AI641" s="48">
        <f t="shared" si="33"/>
        <v>99650.75</v>
      </c>
    </row>
    <row r="642" spans="1:35" x14ac:dyDescent="0.2">
      <c r="A642" s="1" t="s">
        <v>812</v>
      </c>
      <c r="C642" s="1" t="s">
        <v>401</v>
      </c>
      <c r="E642" s="48">
        <v>68754.52</v>
      </c>
      <c r="F642" s="48"/>
      <c r="G642" s="48">
        <v>1832819.64</v>
      </c>
      <c r="H642" s="48"/>
      <c r="I642" s="48">
        <v>843406.44</v>
      </c>
      <c r="J642" s="48"/>
      <c r="K642" s="48">
        <v>76131.8</v>
      </c>
      <c r="L642" s="48"/>
      <c r="M642" s="48">
        <v>62916.27</v>
      </c>
      <c r="N642" s="48"/>
      <c r="O642" s="48">
        <v>85849.24</v>
      </c>
      <c r="P642" s="48"/>
      <c r="Q642" s="48">
        <v>0</v>
      </c>
      <c r="R642" s="48"/>
      <c r="S642" s="48">
        <v>236268.94</v>
      </c>
      <c r="T642" s="48"/>
      <c r="U642" s="48">
        <v>0</v>
      </c>
      <c r="V642" s="48"/>
      <c r="W642" s="48">
        <v>0</v>
      </c>
      <c r="X642" s="48"/>
      <c r="Y642" s="48">
        <v>0</v>
      </c>
      <c r="Z642" s="48"/>
      <c r="AA642" s="48">
        <v>75000</v>
      </c>
      <c r="AB642" s="48"/>
      <c r="AC642" s="48">
        <v>0</v>
      </c>
      <c r="AD642" s="48"/>
      <c r="AE642" s="48">
        <v>0</v>
      </c>
      <c r="AF642" s="48"/>
      <c r="AG642" s="48">
        <v>0</v>
      </c>
      <c r="AH642" s="19">
        <f t="shared" si="32"/>
        <v>3281146.8499999996</v>
      </c>
      <c r="AI642" s="48">
        <f t="shared" si="33"/>
        <v>3281146.8499999996</v>
      </c>
    </row>
    <row r="643" spans="1:35" x14ac:dyDescent="0.2">
      <c r="A643" s="1" t="s">
        <v>287</v>
      </c>
      <c r="C643" s="1" t="s">
        <v>285</v>
      </c>
      <c r="E643" s="48">
        <v>116130</v>
      </c>
      <c r="F643" s="48"/>
      <c r="G643" s="48">
        <v>292247</v>
      </c>
      <c r="H643" s="48"/>
      <c r="I643" s="48">
        <v>48621</v>
      </c>
      <c r="J643" s="48"/>
      <c r="K643" s="48">
        <v>0</v>
      </c>
      <c r="L643" s="48"/>
      <c r="M643" s="48">
        <v>0</v>
      </c>
      <c r="N643" s="48"/>
      <c r="O643" s="48">
        <v>5561</v>
      </c>
      <c r="P643" s="48"/>
      <c r="Q643" s="48">
        <v>1572</v>
      </c>
      <c r="R643" s="48"/>
      <c r="S643" s="48">
        <v>7493</v>
      </c>
      <c r="T643" s="48"/>
      <c r="U643" s="48">
        <v>0</v>
      </c>
      <c r="V643" s="48"/>
      <c r="W643" s="48">
        <v>0</v>
      </c>
      <c r="X643" s="48"/>
      <c r="Y643" s="48">
        <v>55</v>
      </c>
      <c r="Z643" s="48"/>
      <c r="AA643" s="48">
        <v>0</v>
      </c>
      <c r="AB643" s="48"/>
      <c r="AC643" s="48">
        <v>5000</v>
      </c>
      <c r="AD643" s="48"/>
      <c r="AE643" s="48">
        <v>0</v>
      </c>
      <c r="AF643" s="48"/>
      <c r="AG643" s="48">
        <v>0</v>
      </c>
      <c r="AH643" s="19">
        <f t="shared" si="32"/>
        <v>476679</v>
      </c>
      <c r="AI643" s="48">
        <f t="shared" si="33"/>
        <v>476679</v>
      </c>
    </row>
    <row r="644" spans="1:35" x14ac:dyDescent="0.2">
      <c r="A644" s="1" t="s">
        <v>778</v>
      </c>
      <c r="C644" s="1" t="s">
        <v>476</v>
      </c>
      <c r="E644" s="48">
        <v>6046.28</v>
      </c>
      <c r="F644" s="48"/>
      <c r="G644" s="48">
        <v>0</v>
      </c>
      <c r="H644" s="48"/>
      <c r="I644" s="48">
        <v>19930.55</v>
      </c>
      <c r="J644" s="48"/>
      <c r="K644" s="48">
        <v>0</v>
      </c>
      <c r="L644" s="48"/>
      <c r="M644" s="48">
        <v>0</v>
      </c>
      <c r="N644" s="48"/>
      <c r="O644" s="48">
        <v>0</v>
      </c>
      <c r="P644" s="48"/>
      <c r="Q644" s="48">
        <v>298.55</v>
      </c>
      <c r="R644" s="48"/>
      <c r="S644" s="48">
        <v>11752.2</v>
      </c>
      <c r="T644" s="48"/>
      <c r="U644" s="48">
        <v>0</v>
      </c>
      <c r="V644" s="48"/>
      <c r="W644" s="48">
        <v>0</v>
      </c>
      <c r="X644" s="48"/>
      <c r="Y644" s="48">
        <v>0</v>
      </c>
      <c r="Z644" s="48"/>
      <c r="AA644" s="48">
        <v>0</v>
      </c>
      <c r="AB644" s="48"/>
      <c r="AC644" s="48">
        <v>0</v>
      </c>
      <c r="AD644" s="48"/>
      <c r="AE644" s="48">
        <v>0</v>
      </c>
      <c r="AF644" s="48"/>
      <c r="AG644" s="48">
        <v>0</v>
      </c>
      <c r="AH644" s="19">
        <f t="shared" si="32"/>
        <v>38027.58</v>
      </c>
      <c r="AI644" s="48">
        <f t="shared" si="33"/>
        <v>38027.58</v>
      </c>
    </row>
    <row r="645" spans="1:35" x14ac:dyDescent="0.2">
      <c r="A645" s="1" t="s">
        <v>126</v>
      </c>
      <c r="C645" s="1" t="s">
        <v>414</v>
      </c>
      <c r="E645" s="48">
        <v>307953.21999999997</v>
      </c>
      <c r="F645" s="48"/>
      <c r="G645" s="48">
        <v>62048.57</v>
      </c>
      <c r="H645" s="48"/>
      <c r="I645" s="48">
        <v>60828.160000000003</v>
      </c>
      <c r="J645" s="48"/>
      <c r="K645" s="48">
        <v>0</v>
      </c>
      <c r="L645" s="48"/>
      <c r="M645" s="48">
        <v>83378.59</v>
      </c>
      <c r="N645" s="48"/>
      <c r="O645" s="48">
        <v>3909</v>
      </c>
      <c r="P645" s="48"/>
      <c r="Q645" s="48">
        <v>2812.92</v>
      </c>
      <c r="R645" s="48"/>
      <c r="S645" s="48">
        <v>36171.449999999997</v>
      </c>
      <c r="T645" s="48"/>
      <c r="U645" s="48">
        <v>0</v>
      </c>
      <c r="V645" s="48"/>
      <c r="W645" s="48">
        <v>0</v>
      </c>
      <c r="X645" s="48"/>
      <c r="Y645" s="48">
        <v>0</v>
      </c>
      <c r="Z645" s="48"/>
      <c r="AA645" s="48">
        <v>0</v>
      </c>
      <c r="AB645" s="48"/>
      <c r="AC645" s="48">
        <v>0</v>
      </c>
      <c r="AD645" s="48"/>
      <c r="AE645" s="48">
        <v>0</v>
      </c>
      <c r="AF645" s="48"/>
      <c r="AG645" s="48">
        <v>0</v>
      </c>
      <c r="AH645" s="19">
        <f t="shared" si="32"/>
        <v>557101.90999999992</v>
      </c>
      <c r="AI645" s="48">
        <f t="shared" si="33"/>
        <v>557101.90999999992</v>
      </c>
    </row>
    <row r="646" spans="1:35" x14ac:dyDescent="0.2">
      <c r="A646" s="1" t="s">
        <v>779</v>
      </c>
      <c r="C646" s="1" t="s">
        <v>472</v>
      </c>
      <c r="E646" s="48">
        <v>30101</v>
      </c>
      <c r="F646" s="48"/>
      <c r="G646" s="48">
        <v>0</v>
      </c>
      <c r="H646" s="48"/>
      <c r="I646" s="48">
        <v>0</v>
      </c>
      <c r="J646" s="48"/>
      <c r="K646" s="48">
        <v>0</v>
      </c>
      <c r="L646" s="48"/>
      <c r="M646" s="48">
        <v>0</v>
      </c>
      <c r="N646" s="48"/>
      <c r="O646" s="48">
        <f>2061+126</f>
        <v>2187</v>
      </c>
      <c r="P646" s="48"/>
      <c r="Q646" s="48">
        <v>1102</v>
      </c>
      <c r="R646" s="48"/>
      <c r="S646" s="48">
        <v>4770</v>
      </c>
      <c r="T646" s="48"/>
      <c r="U646" s="48">
        <v>0</v>
      </c>
      <c r="V646" s="48"/>
      <c r="W646" s="48">
        <v>0</v>
      </c>
      <c r="X646" s="48"/>
      <c r="Y646" s="48">
        <v>0</v>
      </c>
      <c r="Z646" s="48"/>
      <c r="AA646" s="48">
        <v>0</v>
      </c>
      <c r="AB646" s="48"/>
      <c r="AC646" s="48">
        <v>0</v>
      </c>
      <c r="AD646" s="48"/>
      <c r="AE646" s="48">
        <v>0</v>
      </c>
      <c r="AF646" s="48"/>
      <c r="AG646" s="48">
        <v>0</v>
      </c>
      <c r="AH646" s="19">
        <f t="shared" si="32"/>
        <v>38160</v>
      </c>
      <c r="AI646" s="48">
        <f t="shared" si="33"/>
        <v>38160</v>
      </c>
    </row>
    <row r="647" spans="1:35" x14ac:dyDescent="0.2">
      <c r="A647" s="1" t="s">
        <v>813</v>
      </c>
      <c r="C647" s="1" t="s">
        <v>414</v>
      </c>
      <c r="E647" s="48">
        <v>74314.679999999993</v>
      </c>
      <c r="F647" s="48"/>
      <c r="G647" s="48">
        <v>34818.69</v>
      </c>
      <c r="H647" s="48"/>
      <c r="I647" s="48">
        <v>55949.62</v>
      </c>
      <c r="J647" s="48"/>
      <c r="K647" s="48">
        <v>0</v>
      </c>
      <c r="L647" s="48"/>
      <c r="M647" s="48">
        <v>0</v>
      </c>
      <c r="N647" s="48"/>
      <c r="O647" s="48">
        <v>4662.8999999999996</v>
      </c>
      <c r="P647" s="48"/>
      <c r="Q647" s="48">
        <v>1538.76</v>
      </c>
      <c r="R647" s="48"/>
      <c r="S647" s="48">
        <v>1824.74</v>
      </c>
      <c r="T647" s="48"/>
      <c r="U647" s="48">
        <v>0</v>
      </c>
      <c r="V647" s="48"/>
      <c r="W647" s="48">
        <v>0</v>
      </c>
      <c r="X647" s="48"/>
      <c r="Y647" s="48">
        <v>0</v>
      </c>
      <c r="Z647" s="48"/>
      <c r="AA647" s="48">
        <v>0</v>
      </c>
      <c r="AB647" s="48"/>
      <c r="AC647" s="48">
        <v>0</v>
      </c>
      <c r="AD647" s="48"/>
      <c r="AE647" s="48">
        <v>0</v>
      </c>
      <c r="AF647" s="48"/>
      <c r="AG647" s="48">
        <v>0</v>
      </c>
      <c r="AH647" s="19">
        <f t="shared" si="32"/>
        <v>173109.38999999998</v>
      </c>
      <c r="AI647" s="48">
        <f t="shared" si="33"/>
        <v>173109.38999999998</v>
      </c>
    </row>
    <row r="648" spans="1:35" x14ac:dyDescent="0.2">
      <c r="A648" s="1" t="s">
        <v>244</v>
      </c>
      <c r="C648" s="1" t="s">
        <v>558</v>
      </c>
      <c r="E648" s="48">
        <v>11959.79</v>
      </c>
      <c r="F648" s="48"/>
      <c r="G648" s="48">
        <v>0</v>
      </c>
      <c r="H648" s="48"/>
      <c r="I648" s="48">
        <v>6866.51</v>
      </c>
      <c r="J648" s="48"/>
      <c r="K648" s="48">
        <v>1859.19</v>
      </c>
      <c r="L648" s="48"/>
      <c r="M648" s="48">
        <v>0</v>
      </c>
      <c r="N648" s="48"/>
      <c r="O648" s="48">
        <v>6664.19</v>
      </c>
      <c r="P648" s="48"/>
      <c r="Q648" s="48">
        <v>20.82</v>
      </c>
      <c r="R648" s="48"/>
      <c r="S648" s="48">
        <v>1182.8900000000001</v>
      </c>
      <c r="T648" s="48"/>
      <c r="U648" s="48">
        <v>0</v>
      </c>
      <c r="V648" s="48"/>
      <c r="W648" s="48">
        <v>0</v>
      </c>
      <c r="X648" s="48"/>
      <c r="Y648" s="48">
        <v>0</v>
      </c>
      <c r="Z648" s="48"/>
      <c r="AA648" s="48">
        <v>0</v>
      </c>
      <c r="AB648" s="48"/>
      <c r="AC648" s="48">
        <v>0</v>
      </c>
      <c r="AD648" s="48"/>
      <c r="AE648" s="48">
        <v>38.700000000000003</v>
      </c>
      <c r="AF648" s="48"/>
      <c r="AG648" s="48">
        <v>0</v>
      </c>
      <c r="AH648" s="19">
        <f t="shared" si="32"/>
        <v>28592.09</v>
      </c>
      <c r="AI648" s="48">
        <f t="shared" si="33"/>
        <v>28592.09</v>
      </c>
    </row>
    <row r="649" spans="1:35" x14ac:dyDescent="0.2">
      <c r="A649" s="1" t="s">
        <v>439</v>
      </c>
      <c r="C649" s="1" t="s">
        <v>437</v>
      </c>
      <c r="E649" s="48">
        <v>193405</v>
      </c>
      <c r="F649" s="48"/>
      <c r="G649" s="48">
        <v>900654</v>
      </c>
      <c r="H649" s="48"/>
      <c r="I649" s="48">
        <v>267009</v>
      </c>
      <c r="J649" s="48"/>
      <c r="K649" s="48">
        <v>0</v>
      </c>
      <c r="L649" s="48"/>
      <c r="M649" s="48">
        <v>500</v>
      </c>
      <c r="N649" s="48"/>
      <c r="O649" s="48">
        <v>80365</v>
      </c>
      <c r="P649" s="48"/>
      <c r="Q649" s="48">
        <v>7464</v>
      </c>
      <c r="R649" s="48"/>
      <c r="S649" s="48">
        <v>38233</v>
      </c>
      <c r="T649" s="48"/>
      <c r="U649" s="48">
        <v>0</v>
      </c>
      <c r="V649" s="48"/>
      <c r="W649" s="48">
        <v>0</v>
      </c>
      <c r="X649" s="48"/>
      <c r="Y649" s="48">
        <v>1725</v>
      </c>
      <c r="Z649" s="48"/>
      <c r="AA649" s="48">
        <v>0</v>
      </c>
      <c r="AB649" s="48"/>
      <c r="AC649" s="48">
        <v>0</v>
      </c>
      <c r="AD649" s="48"/>
      <c r="AE649" s="48">
        <v>56396</v>
      </c>
      <c r="AF649" s="48"/>
      <c r="AG649" s="48">
        <v>0</v>
      </c>
      <c r="AH649" s="19">
        <f t="shared" si="32"/>
        <v>1545751</v>
      </c>
      <c r="AI649" s="48">
        <f t="shared" si="33"/>
        <v>1545751</v>
      </c>
    </row>
    <row r="650" spans="1:35" x14ac:dyDescent="0.2">
      <c r="A650" s="1" t="s">
        <v>328</v>
      </c>
      <c r="C650" s="1" t="s">
        <v>327</v>
      </c>
      <c r="E650" s="48">
        <f>3438+931+11</f>
        <v>4380</v>
      </c>
      <c r="F650" s="48"/>
      <c r="G650" s="48">
        <v>0</v>
      </c>
      <c r="H650" s="48"/>
      <c r="I650" s="48">
        <v>5580</v>
      </c>
      <c r="J650" s="48"/>
      <c r="K650" s="48">
        <v>0</v>
      </c>
      <c r="L650" s="48"/>
      <c r="M650" s="48">
        <v>0</v>
      </c>
      <c r="N650" s="48"/>
      <c r="O650" s="48">
        <v>0</v>
      </c>
      <c r="P650" s="48"/>
      <c r="Q650" s="48">
        <v>0</v>
      </c>
      <c r="R650" s="48"/>
      <c r="S650" s="48">
        <v>316</v>
      </c>
      <c r="T650" s="48"/>
      <c r="U650" s="48">
        <v>0</v>
      </c>
      <c r="V650" s="48"/>
      <c r="W650" s="48">
        <v>0</v>
      </c>
      <c r="X650" s="48"/>
      <c r="Y650" s="48">
        <v>0</v>
      </c>
      <c r="Z650" s="48"/>
      <c r="AA650" s="48">
        <v>0</v>
      </c>
      <c r="AB650" s="48"/>
      <c r="AC650" s="48">
        <v>0</v>
      </c>
      <c r="AD650" s="48"/>
      <c r="AE650" s="48">
        <v>0</v>
      </c>
      <c r="AF650" s="48"/>
      <c r="AG650" s="48">
        <v>0</v>
      </c>
      <c r="AH650" s="19">
        <f t="shared" si="32"/>
        <v>10276</v>
      </c>
      <c r="AI650" s="48">
        <f t="shared" si="33"/>
        <v>10276</v>
      </c>
    </row>
    <row r="651" spans="1:35" x14ac:dyDescent="0.2">
      <c r="A651" s="1" t="s">
        <v>233</v>
      </c>
      <c r="C651" s="1" t="s">
        <v>547</v>
      </c>
      <c r="E651" s="48">
        <v>36337.01</v>
      </c>
      <c r="F651" s="48"/>
      <c r="G651" s="48">
        <v>181591.09</v>
      </c>
      <c r="H651" s="48"/>
      <c r="I651" s="48">
        <v>33264.300000000003</v>
      </c>
      <c r="J651" s="48"/>
      <c r="K651" s="48">
        <v>0</v>
      </c>
      <c r="L651" s="48"/>
      <c r="M651" s="48">
        <v>58487.5</v>
      </c>
      <c r="N651" s="48"/>
      <c r="O651" s="48">
        <v>7323.37</v>
      </c>
      <c r="P651" s="48"/>
      <c r="Q651" s="48">
        <v>856.32</v>
      </c>
      <c r="R651" s="48"/>
      <c r="S651" s="48">
        <v>10113.65</v>
      </c>
      <c r="T651" s="48"/>
      <c r="U651" s="48">
        <v>0</v>
      </c>
      <c r="V651" s="48"/>
      <c r="W651" s="48">
        <v>0</v>
      </c>
      <c r="X651" s="48"/>
      <c r="Y651" s="48">
        <v>2000</v>
      </c>
      <c r="Z651" s="48"/>
      <c r="AA651" s="48">
        <v>0</v>
      </c>
      <c r="AB651" s="48"/>
      <c r="AC651" s="48">
        <v>0</v>
      </c>
      <c r="AD651" s="48"/>
      <c r="AE651" s="48">
        <v>0</v>
      </c>
      <c r="AF651" s="48"/>
      <c r="AG651" s="48">
        <v>0</v>
      </c>
      <c r="AH651" s="19">
        <f t="shared" si="32"/>
        <v>329973.24000000005</v>
      </c>
      <c r="AI651" s="48">
        <f t="shared" si="33"/>
        <v>329973.24000000005</v>
      </c>
    </row>
    <row r="652" spans="1:35" x14ac:dyDescent="0.2">
      <c r="A652" s="1" t="s">
        <v>0</v>
      </c>
      <c r="C652" s="1" t="s">
        <v>616</v>
      </c>
      <c r="E652" s="48">
        <v>45759.03</v>
      </c>
      <c r="F652" s="48"/>
      <c r="G652" s="48">
        <v>589570.09</v>
      </c>
      <c r="H652" s="48"/>
      <c r="I652" s="48">
        <v>68428.539999999994</v>
      </c>
      <c r="J652" s="48"/>
      <c r="K652" s="48">
        <v>0</v>
      </c>
      <c r="L652" s="48"/>
      <c r="M652" s="48">
        <v>3131</v>
      </c>
      <c r="N652" s="48"/>
      <c r="O652" s="48">
        <v>115304.38</v>
      </c>
      <c r="P652" s="48"/>
      <c r="Q652" s="48">
        <v>3190.3</v>
      </c>
      <c r="R652" s="48"/>
      <c r="S652" s="48">
        <v>24783.17</v>
      </c>
      <c r="T652" s="48"/>
      <c r="U652" s="48">
        <v>0</v>
      </c>
      <c r="V652" s="48"/>
      <c r="W652" s="48">
        <v>0</v>
      </c>
      <c r="X652" s="48"/>
      <c r="Y652" s="48">
        <v>0</v>
      </c>
      <c r="Z652" s="48"/>
      <c r="AA652" s="48">
        <v>0</v>
      </c>
      <c r="AB652" s="48"/>
      <c r="AC652" s="48">
        <v>0</v>
      </c>
      <c r="AD652" s="48"/>
      <c r="AE652" s="48">
        <v>0</v>
      </c>
      <c r="AF652" s="48"/>
      <c r="AG652" s="48">
        <v>0</v>
      </c>
      <c r="AH652" s="19">
        <f t="shared" si="32"/>
        <v>850166.51000000013</v>
      </c>
      <c r="AI652" s="48">
        <f t="shared" si="33"/>
        <v>850166.51000000013</v>
      </c>
    </row>
    <row r="653" spans="1:35" x14ac:dyDescent="0.2">
      <c r="A653" s="1" t="s">
        <v>557</v>
      </c>
      <c r="C653" s="1" t="s">
        <v>554</v>
      </c>
      <c r="E653" s="48">
        <v>107184.77</v>
      </c>
      <c r="F653" s="48"/>
      <c r="G653" s="48">
        <v>256833</v>
      </c>
      <c r="H653" s="48"/>
      <c r="I653" s="48">
        <v>54810.58</v>
      </c>
      <c r="J653" s="48"/>
      <c r="K653" s="48">
        <v>0</v>
      </c>
      <c r="L653" s="48"/>
      <c r="M653" s="48">
        <v>0</v>
      </c>
      <c r="N653" s="48"/>
      <c r="O653" s="48">
        <v>28423.53</v>
      </c>
      <c r="P653" s="48"/>
      <c r="Q653" s="48">
        <v>1730.29</v>
      </c>
      <c r="R653" s="48"/>
      <c r="S653" s="48">
        <v>34811.46</v>
      </c>
      <c r="T653" s="48"/>
      <c r="U653" s="48">
        <v>0</v>
      </c>
      <c r="V653" s="48"/>
      <c r="W653" s="48">
        <v>0</v>
      </c>
      <c r="X653" s="48"/>
      <c r="Y653" s="48">
        <v>0</v>
      </c>
      <c r="Z653" s="48"/>
      <c r="AA653" s="48">
        <v>0</v>
      </c>
      <c r="AB653" s="48"/>
      <c r="AC653" s="48">
        <v>0</v>
      </c>
      <c r="AD653" s="48"/>
      <c r="AE653" s="48">
        <v>0</v>
      </c>
      <c r="AF653" s="48"/>
      <c r="AG653" s="48">
        <v>0</v>
      </c>
      <c r="AH653" s="19">
        <f t="shared" si="32"/>
        <v>483793.63</v>
      </c>
      <c r="AI653" s="48">
        <f t="shared" si="33"/>
        <v>483793.63</v>
      </c>
    </row>
    <row r="654" spans="1:35" x14ac:dyDescent="0.2">
      <c r="A654" s="1" t="s">
        <v>853</v>
      </c>
      <c r="C654" s="1" t="s">
        <v>823</v>
      </c>
      <c r="E654" s="48">
        <v>125909.35</v>
      </c>
      <c r="F654" s="48"/>
      <c r="G654" s="48">
        <v>1218644.96</v>
      </c>
      <c r="H654" s="48"/>
      <c r="I654" s="48">
        <v>136896.04</v>
      </c>
      <c r="J654" s="48"/>
      <c r="K654" s="48">
        <v>0</v>
      </c>
      <c r="L654" s="48"/>
      <c r="M654" s="48">
        <v>4927</v>
      </c>
      <c r="N654" s="48"/>
      <c r="O654" s="48">
        <v>4284</v>
      </c>
      <c r="P654" s="48"/>
      <c r="Q654" s="48">
        <v>0</v>
      </c>
      <c r="R654" s="48"/>
      <c r="S654" s="48">
        <v>70110.28</v>
      </c>
      <c r="T654" s="48"/>
      <c r="U654" s="48">
        <v>0</v>
      </c>
      <c r="V654" s="48"/>
      <c r="W654" s="48">
        <v>0</v>
      </c>
      <c r="X654" s="48"/>
      <c r="Y654" s="48">
        <v>0</v>
      </c>
      <c r="Z654" s="48"/>
      <c r="AA654" s="48">
        <v>0</v>
      </c>
      <c r="AB654" s="48"/>
      <c r="AC654" s="48">
        <v>0</v>
      </c>
      <c r="AD654" s="48"/>
      <c r="AE654" s="48">
        <v>0</v>
      </c>
      <c r="AF654" s="48"/>
      <c r="AG654" s="48">
        <v>100000</v>
      </c>
      <c r="AH654" s="19">
        <f t="shared" si="32"/>
        <v>1560771.6300000001</v>
      </c>
      <c r="AI654" s="48">
        <f t="shared" si="33"/>
        <v>1660771.6300000001</v>
      </c>
    </row>
    <row r="655" spans="1:35" x14ac:dyDescent="0.2">
      <c r="A655" s="1" t="s">
        <v>245</v>
      </c>
      <c r="C655" s="1" t="s">
        <v>558</v>
      </c>
      <c r="E655" s="48">
        <v>27686.240000000002</v>
      </c>
      <c r="F655" s="48"/>
      <c r="G655" s="48">
        <v>210029.96</v>
      </c>
      <c r="H655" s="48"/>
      <c r="I655" s="48">
        <v>38016.120000000003</v>
      </c>
      <c r="J655" s="48"/>
      <c r="K655" s="48">
        <v>1926.64</v>
      </c>
      <c r="L655" s="48"/>
      <c r="M655" s="48">
        <v>34554.480000000003</v>
      </c>
      <c r="N655" s="48"/>
      <c r="O655" s="48">
        <v>6349.94</v>
      </c>
      <c r="P655" s="48"/>
      <c r="Q655" s="48">
        <v>1737.31</v>
      </c>
      <c r="R655" s="48"/>
      <c r="S655" s="48">
        <v>10036.040000000001</v>
      </c>
      <c r="T655" s="48"/>
      <c r="U655" s="48">
        <v>0</v>
      </c>
      <c r="V655" s="48"/>
      <c r="W655" s="48">
        <v>0</v>
      </c>
      <c r="X655" s="48"/>
      <c r="Y655" s="48">
        <v>305</v>
      </c>
      <c r="Z655" s="48"/>
      <c r="AA655" s="48">
        <v>0</v>
      </c>
      <c r="AB655" s="48"/>
      <c r="AC655" s="48">
        <v>0</v>
      </c>
      <c r="AD655" s="48"/>
      <c r="AE655" s="48">
        <v>0</v>
      </c>
      <c r="AF655" s="48"/>
      <c r="AG655" s="48">
        <v>0</v>
      </c>
      <c r="AH655" s="19">
        <f t="shared" si="32"/>
        <v>330641.73</v>
      </c>
      <c r="AI655" s="48">
        <f t="shared" si="33"/>
        <v>330641.73</v>
      </c>
    </row>
    <row r="656" spans="1:35" x14ac:dyDescent="0.2">
      <c r="A656" s="1" t="s">
        <v>780</v>
      </c>
      <c r="C656" s="1" t="s">
        <v>566</v>
      </c>
      <c r="E656" s="48">
        <v>2379</v>
      </c>
      <c r="F656" s="48"/>
      <c r="G656" s="48">
        <v>0</v>
      </c>
      <c r="H656" s="48"/>
      <c r="I656" s="48">
        <v>21514</v>
      </c>
      <c r="J656" s="48"/>
      <c r="K656" s="48">
        <v>0</v>
      </c>
      <c r="L656" s="48"/>
      <c r="M656" s="48">
        <v>0</v>
      </c>
      <c r="N656" s="48"/>
      <c r="O656" s="48">
        <v>0</v>
      </c>
      <c r="P656" s="48"/>
      <c r="Q656" s="48">
        <v>351</v>
      </c>
      <c r="R656" s="48"/>
      <c r="S656" s="48">
        <v>11670</v>
      </c>
      <c r="T656" s="48"/>
      <c r="U656" s="48">
        <v>0</v>
      </c>
      <c r="V656" s="48"/>
      <c r="W656" s="48">
        <v>0</v>
      </c>
      <c r="X656" s="48"/>
      <c r="Y656" s="48">
        <v>0</v>
      </c>
      <c r="Z656" s="48"/>
      <c r="AA656" s="48">
        <v>0</v>
      </c>
      <c r="AB656" s="48"/>
      <c r="AC656" s="48">
        <v>0</v>
      </c>
      <c r="AD656" s="48"/>
      <c r="AE656" s="48">
        <v>0</v>
      </c>
      <c r="AF656" s="48"/>
      <c r="AG656" s="48">
        <v>0</v>
      </c>
      <c r="AH656" s="19">
        <f t="shared" si="32"/>
        <v>35914</v>
      </c>
      <c r="AI656" s="48">
        <f t="shared" si="33"/>
        <v>35914</v>
      </c>
    </row>
    <row r="657" spans="1:35" x14ac:dyDescent="0.2">
      <c r="A657" s="1" t="s">
        <v>425</v>
      </c>
      <c r="C657" s="1" t="s">
        <v>423</v>
      </c>
      <c r="E657" s="48">
        <v>322624</v>
      </c>
      <c r="F657" s="48"/>
      <c r="G657" s="48">
        <v>0</v>
      </c>
      <c r="H657" s="48"/>
      <c r="I657" s="48">
        <v>146625</v>
      </c>
      <c r="J657" s="48"/>
      <c r="K657" s="48">
        <v>0</v>
      </c>
      <c r="L657" s="48"/>
      <c r="M657" s="48">
        <v>286014</v>
      </c>
      <c r="N657" s="48"/>
      <c r="O657" s="48">
        <v>91480</v>
      </c>
      <c r="P657" s="48"/>
      <c r="Q657" s="48">
        <v>0</v>
      </c>
      <c r="R657" s="48"/>
      <c r="S657" s="48">
        <v>138725</v>
      </c>
      <c r="T657" s="48"/>
      <c r="U657" s="48">
        <v>0</v>
      </c>
      <c r="V657" s="48"/>
      <c r="W657" s="48">
        <v>0</v>
      </c>
      <c r="X657" s="48"/>
      <c r="Y657" s="48">
        <v>11627</v>
      </c>
      <c r="Z657" s="48"/>
      <c r="AA657" s="48">
        <v>1536504</v>
      </c>
      <c r="AB657" s="48"/>
      <c r="AC657" s="48">
        <v>0</v>
      </c>
      <c r="AD657" s="48"/>
      <c r="AE657" s="48">
        <v>0</v>
      </c>
      <c r="AF657" s="48"/>
      <c r="AG657" s="48">
        <v>0</v>
      </c>
      <c r="AH657" s="19">
        <f t="shared" si="32"/>
        <v>2533599</v>
      </c>
      <c r="AI657" s="48">
        <f t="shared" si="33"/>
        <v>2533599</v>
      </c>
    </row>
    <row r="658" spans="1:35" x14ac:dyDescent="0.2">
      <c r="A658" s="1" t="s">
        <v>537</v>
      </c>
      <c r="C658" s="1" t="s">
        <v>77</v>
      </c>
      <c r="E658" s="48">
        <v>4633</v>
      </c>
      <c r="F658" s="48"/>
      <c r="G658" s="48">
        <v>8909</v>
      </c>
      <c r="H658" s="48"/>
      <c r="I658" s="48">
        <v>0</v>
      </c>
      <c r="J658" s="48"/>
      <c r="K658" s="48">
        <v>0</v>
      </c>
      <c r="L658" s="48"/>
      <c r="M658" s="48">
        <v>0</v>
      </c>
      <c r="N658" s="48"/>
      <c r="O658" s="48">
        <v>0</v>
      </c>
      <c r="P658" s="48"/>
      <c r="Q658" s="48">
        <v>9</v>
      </c>
      <c r="R658" s="48"/>
      <c r="S658" s="48">
        <v>354</v>
      </c>
      <c r="T658" s="48"/>
      <c r="U658" s="48">
        <v>0</v>
      </c>
      <c r="V658" s="48"/>
      <c r="W658" s="48">
        <v>0</v>
      </c>
      <c r="X658" s="48"/>
      <c r="Y658" s="48">
        <v>0</v>
      </c>
      <c r="Z658" s="48"/>
      <c r="AA658" s="48">
        <v>0</v>
      </c>
      <c r="AB658" s="48"/>
      <c r="AC658" s="48">
        <v>0</v>
      </c>
      <c r="AD658" s="48"/>
      <c r="AE658" s="48">
        <v>0</v>
      </c>
      <c r="AF658" s="48"/>
      <c r="AG658" s="48">
        <v>0</v>
      </c>
      <c r="AH658" s="19">
        <f t="shared" si="32"/>
        <v>13905</v>
      </c>
      <c r="AI658" s="48">
        <f t="shared" si="33"/>
        <v>13905</v>
      </c>
    </row>
    <row r="659" spans="1:35" x14ac:dyDescent="0.2">
      <c r="A659" s="1" t="s">
        <v>39</v>
      </c>
      <c r="C659" s="1" t="s">
        <v>277</v>
      </c>
      <c r="E659" s="48">
        <v>104649.68</v>
      </c>
      <c r="F659" s="48"/>
      <c r="G659" s="48">
        <v>458321.29</v>
      </c>
      <c r="H659" s="48"/>
      <c r="I659" s="48">
        <v>47640.92</v>
      </c>
      <c r="J659" s="48"/>
      <c r="K659" s="48">
        <v>0</v>
      </c>
      <c r="L659" s="48"/>
      <c r="M659" s="48">
        <v>58865.61</v>
      </c>
      <c r="N659" s="48"/>
      <c r="O659" s="48">
        <v>50974.97</v>
      </c>
      <c r="P659" s="48"/>
      <c r="Q659" s="48">
        <v>545.13</v>
      </c>
      <c r="R659" s="48"/>
      <c r="S659" s="48">
        <v>4027.65</v>
      </c>
      <c r="T659" s="48"/>
      <c r="U659" s="48">
        <v>0</v>
      </c>
      <c r="V659" s="48"/>
      <c r="W659" s="48">
        <v>0</v>
      </c>
      <c r="X659" s="48"/>
      <c r="Y659" s="48">
        <v>0</v>
      </c>
      <c r="Z659" s="48"/>
      <c r="AA659" s="48">
        <v>25003.4</v>
      </c>
      <c r="AB659" s="48"/>
      <c r="AC659" s="48">
        <v>0</v>
      </c>
      <c r="AD659" s="48"/>
      <c r="AE659" s="48">
        <v>0</v>
      </c>
      <c r="AF659" s="48"/>
      <c r="AG659" s="48">
        <v>0</v>
      </c>
      <c r="AH659" s="19">
        <f t="shared" si="32"/>
        <v>750028.65</v>
      </c>
      <c r="AI659" s="48">
        <f t="shared" si="33"/>
        <v>750028.65</v>
      </c>
    </row>
    <row r="660" spans="1:35" x14ac:dyDescent="0.2">
      <c r="A660" s="1" t="s">
        <v>177</v>
      </c>
      <c r="C660" s="1" t="s">
        <v>467</v>
      </c>
      <c r="E660" s="48">
        <v>39084.94</v>
      </c>
      <c r="F660" s="48"/>
      <c r="G660" s="48">
        <v>0</v>
      </c>
      <c r="H660" s="48"/>
      <c r="I660" s="48">
        <v>19214.900000000001</v>
      </c>
      <c r="J660" s="48"/>
      <c r="K660" s="48">
        <v>0</v>
      </c>
      <c r="L660" s="48"/>
      <c r="M660" s="48">
        <v>0</v>
      </c>
      <c r="N660" s="48"/>
      <c r="O660" s="48">
        <v>331.64</v>
      </c>
      <c r="P660" s="48"/>
      <c r="Q660" s="48">
        <v>671.32</v>
      </c>
      <c r="R660" s="48"/>
      <c r="S660" s="48">
        <v>6892.91</v>
      </c>
      <c r="T660" s="48"/>
      <c r="U660" s="48">
        <v>0</v>
      </c>
      <c r="V660" s="48"/>
      <c r="W660" s="48">
        <v>0</v>
      </c>
      <c r="X660" s="48"/>
      <c r="Y660" s="48">
        <v>0</v>
      </c>
      <c r="Z660" s="48"/>
      <c r="AA660" s="48">
        <v>0</v>
      </c>
      <c r="AB660" s="48"/>
      <c r="AC660" s="48">
        <v>0</v>
      </c>
      <c r="AD660" s="48"/>
      <c r="AE660" s="48">
        <v>0</v>
      </c>
      <c r="AF660" s="48"/>
      <c r="AG660" s="48">
        <v>0</v>
      </c>
      <c r="AH660" s="19">
        <f t="shared" ref="AH660:AH682" si="34">SUM(D660:AF660)</f>
        <v>66195.710000000006</v>
      </c>
      <c r="AI660" s="48">
        <f t="shared" ref="AI660:AI682" si="35">SUM(E660:AG660)</f>
        <v>66195.710000000006</v>
      </c>
    </row>
    <row r="661" spans="1:35" x14ac:dyDescent="0.2">
      <c r="A661" s="1" t="s">
        <v>536</v>
      </c>
      <c r="C661" s="1" t="s">
        <v>532</v>
      </c>
      <c r="E661" s="48">
        <v>26584.94</v>
      </c>
      <c r="F661" s="48"/>
      <c r="G661" s="48">
        <v>45734.61</v>
      </c>
      <c r="H661" s="48"/>
      <c r="I661" s="48">
        <v>22160.9</v>
      </c>
      <c r="J661" s="48"/>
      <c r="K661" s="48">
        <v>0</v>
      </c>
      <c r="L661" s="48"/>
      <c r="M661" s="48">
        <v>0</v>
      </c>
      <c r="N661" s="48"/>
      <c r="O661" s="48">
        <v>3199.14</v>
      </c>
      <c r="P661" s="48"/>
      <c r="Q661" s="48">
        <v>183.38</v>
      </c>
      <c r="R661" s="48"/>
      <c r="S661" s="48">
        <v>1770.07</v>
      </c>
      <c r="T661" s="48"/>
      <c r="U661" s="48">
        <v>0</v>
      </c>
      <c r="V661" s="48"/>
      <c r="W661" s="48">
        <v>0</v>
      </c>
      <c r="X661" s="48"/>
      <c r="Y661" s="48">
        <v>0</v>
      </c>
      <c r="Z661" s="48"/>
      <c r="AA661" s="48">
        <v>0</v>
      </c>
      <c r="AB661" s="48"/>
      <c r="AC661" s="48">
        <v>0</v>
      </c>
      <c r="AD661" s="48"/>
      <c r="AE661" s="48">
        <v>0</v>
      </c>
      <c r="AF661" s="48"/>
      <c r="AG661" s="48">
        <v>0</v>
      </c>
      <c r="AH661" s="19">
        <f t="shared" si="34"/>
        <v>99633.040000000023</v>
      </c>
      <c r="AI661" s="48">
        <f t="shared" si="35"/>
        <v>99633.040000000023</v>
      </c>
    </row>
    <row r="662" spans="1:35" x14ac:dyDescent="0.2">
      <c r="A662" s="1" t="s">
        <v>728</v>
      </c>
      <c r="C662" s="1" t="s">
        <v>502</v>
      </c>
      <c r="E662" s="48">
        <v>9164.31</v>
      </c>
      <c r="F662" s="48"/>
      <c r="G662" s="48">
        <v>96631.88</v>
      </c>
      <c r="H662" s="48"/>
      <c r="I662" s="48">
        <v>4471.75</v>
      </c>
      <c r="J662" s="48"/>
      <c r="K662" s="48">
        <v>0</v>
      </c>
      <c r="L662" s="48"/>
      <c r="M662" s="48">
        <v>0</v>
      </c>
      <c r="N662" s="48"/>
      <c r="O662" s="48">
        <v>2089.9899999999998</v>
      </c>
      <c r="P662" s="48"/>
      <c r="Q662" s="48">
        <v>30.14</v>
      </c>
      <c r="R662" s="48"/>
      <c r="S662" s="48">
        <v>8398.83</v>
      </c>
      <c r="T662" s="48"/>
      <c r="U662" s="48">
        <v>0</v>
      </c>
      <c r="V662" s="48"/>
      <c r="W662" s="48">
        <v>0</v>
      </c>
      <c r="X662" s="48"/>
      <c r="Y662" s="48">
        <v>0</v>
      </c>
      <c r="Z662" s="48"/>
      <c r="AA662" s="48">
        <v>0</v>
      </c>
      <c r="AB662" s="48"/>
      <c r="AC662" s="48">
        <v>0</v>
      </c>
      <c r="AD662" s="48"/>
      <c r="AE662" s="48">
        <v>0</v>
      </c>
      <c r="AF662" s="48"/>
      <c r="AG662" s="48">
        <v>0</v>
      </c>
      <c r="AH662" s="19">
        <f t="shared" si="34"/>
        <v>120786.90000000001</v>
      </c>
      <c r="AI662" s="48">
        <f t="shared" si="35"/>
        <v>120786.90000000001</v>
      </c>
    </row>
    <row r="663" spans="1:35" x14ac:dyDescent="0.2">
      <c r="A663" s="1" t="s">
        <v>445</v>
      </c>
      <c r="C663" s="1" t="s">
        <v>441</v>
      </c>
      <c r="E663" s="48">
        <v>3079</v>
      </c>
      <c r="F663" s="48"/>
      <c r="G663" s="48">
        <v>0</v>
      </c>
      <c r="H663" s="48"/>
      <c r="I663" s="48">
        <v>5143</v>
      </c>
      <c r="J663" s="48"/>
      <c r="K663" s="48">
        <v>0</v>
      </c>
      <c r="L663" s="48"/>
      <c r="M663" s="48">
        <v>0</v>
      </c>
      <c r="N663" s="48"/>
      <c r="O663" s="48">
        <v>325</v>
      </c>
      <c r="P663" s="48"/>
      <c r="Q663" s="48">
        <v>46</v>
      </c>
      <c r="R663" s="48"/>
      <c r="S663" s="48">
        <v>0</v>
      </c>
      <c r="T663" s="48"/>
      <c r="U663" s="48">
        <v>0</v>
      </c>
      <c r="V663" s="48"/>
      <c r="W663" s="48">
        <v>0</v>
      </c>
      <c r="X663" s="48"/>
      <c r="Y663" s="48">
        <v>0</v>
      </c>
      <c r="Z663" s="48"/>
      <c r="AA663" s="48">
        <v>0</v>
      </c>
      <c r="AB663" s="48"/>
      <c r="AC663" s="48">
        <v>0</v>
      </c>
      <c r="AD663" s="48"/>
      <c r="AE663" s="48">
        <v>0</v>
      </c>
      <c r="AF663" s="48"/>
      <c r="AG663" s="48">
        <v>0</v>
      </c>
      <c r="AH663" s="19">
        <f t="shared" si="34"/>
        <v>8593</v>
      </c>
      <c r="AI663" s="48">
        <f t="shared" si="35"/>
        <v>8593</v>
      </c>
    </row>
    <row r="664" spans="1:35" x14ac:dyDescent="0.2">
      <c r="A664" s="1" t="s">
        <v>1</v>
      </c>
      <c r="C664" s="1" t="s">
        <v>616</v>
      </c>
      <c r="E664" s="48">
        <v>99301.31</v>
      </c>
      <c r="F664" s="48"/>
      <c r="G664" s="48">
        <v>0</v>
      </c>
      <c r="H664" s="48"/>
      <c r="I664" s="48">
        <v>13841.85</v>
      </c>
      <c r="J664" s="48"/>
      <c r="K664" s="48">
        <v>0</v>
      </c>
      <c r="L664" s="48"/>
      <c r="M664" s="48">
        <v>0</v>
      </c>
      <c r="N664" s="48"/>
      <c r="O664" s="48">
        <v>83354.41</v>
      </c>
      <c r="P664" s="48"/>
      <c r="Q664" s="48">
        <v>474.6</v>
      </c>
      <c r="R664" s="48"/>
      <c r="S664" s="48">
        <v>23384.65</v>
      </c>
      <c r="T664" s="48"/>
      <c r="U664" s="48">
        <v>0</v>
      </c>
      <c r="V664" s="48"/>
      <c r="W664" s="48">
        <v>0</v>
      </c>
      <c r="X664" s="48"/>
      <c r="Y664" s="48">
        <v>0</v>
      </c>
      <c r="Z664" s="48"/>
      <c r="AA664" s="48">
        <v>0</v>
      </c>
      <c r="AB664" s="48"/>
      <c r="AC664" s="48">
        <v>20000</v>
      </c>
      <c r="AD664" s="48"/>
      <c r="AE664" s="48">
        <v>0</v>
      </c>
      <c r="AF664" s="48"/>
      <c r="AG664" s="48">
        <v>0</v>
      </c>
      <c r="AH664" s="19">
        <f t="shared" si="34"/>
        <v>240356.82</v>
      </c>
      <c r="AI664" s="48">
        <f t="shared" si="35"/>
        <v>240356.82</v>
      </c>
    </row>
    <row r="665" spans="1:35" x14ac:dyDescent="0.2">
      <c r="A665" s="1" t="s">
        <v>182</v>
      </c>
      <c r="C665" s="1" t="s">
        <v>241</v>
      </c>
      <c r="E665" s="48">
        <v>73727.839999999997</v>
      </c>
      <c r="F665" s="48"/>
      <c r="G665" s="48">
        <v>436084.93</v>
      </c>
      <c r="H665" s="48"/>
      <c r="I665" s="48">
        <v>66044.600000000006</v>
      </c>
      <c r="J665" s="48"/>
      <c r="K665" s="48">
        <v>0</v>
      </c>
      <c r="L665" s="48"/>
      <c r="M665" s="48">
        <v>0</v>
      </c>
      <c r="N665" s="48"/>
      <c r="O665" s="48">
        <v>47237.78</v>
      </c>
      <c r="P665" s="48"/>
      <c r="Q665" s="48">
        <v>222.53</v>
      </c>
      <c r="R665" s="48"/>
      <c r="S665" s="48">
        <v>455.6</v>
      </c>
      <c r="T665" s="48"/>
      <c r="U665" s="48">
        <v>0</v>
      </c>
      <c r="V665" s="48"/>
      <c r="W665" s="48">
        <v>0</v>
      </c>
      <c r="X665" s="48"/>
      <c r="Y665" s="48">
        <v>0</v>
      </c>
      <c r="Z665" s="48"/>
      <c r="AA665" s="48">
        <v>27883.8</v>
      </c>
      <c r="AB665" s="48"/>
      <c r="AC665" s="48">
        <v>0</v>
      </c>
      <c r="AD665" s="48"/>
      <c r="AE665" s="48">
        <v>36354.129999999997</v>
      </c>
      <c r="AF665" s="48"/>
      <c r="AG665" s="48">
        <v>0</v>
      </c>
      <c r="AH665" s="19">
        <f t="shared" si="34"/>
        <v>688011.21000000008</v>
      </c>
      <c r="AI665" s="48">
        <f t="shared" si="35"/>
        <v>688011.21000000008</v>
      </c>
    </row>
    <row r="666" spans="1:35" x14ac:dyDescent="0.2">
      <c r="A666" s="1" t="s">
        <v>729</v>
      </c>
      <c r="C666" s="1" t="s">
        <v>390</v>
      </c>
      <c r="E666" s="48">
        <v>193517.32</v>
      </c>
      <c r="F666" s="48"/>
      <c r="G666" s="48">
        <v>983645.74</v>
      </c>
      <c r="H666" s="48"/>
      <c r="I666" s="48">
        <v>174554.85</v>
      </c>
      <c r="J666" s="48"/>
      <c r="K666" s="48">
        <v>0</v>
      </c>
      <c r="L666" s="48"/>
      <c r="M666" s="48">
        <v>55959.63</v>
      </c>
      <c r="N666" s="48"/>
      <c r="O666" s="48">
        <v>82332.88</v>
      </c>
      <c r="P666" s="48"/>
      <c r="Q666" s="48">
        <v>467.19</v>
      </c>
      <c r="R666" s="48"/>
      <c r="S666" s="48">
        <v>15743.13</v>
      </c>
      <c r="T666" s="48"/>
      <c r="U666" s="48">
        <v>0</v>
      </c>
      <c r="V666" s="48"/>
      <c r="W666" s="48">
        <v>0</v>
      </c>
      <c r="X666" s="48"/>
      <c r="Y666" s="48">
        <v>0</v>
      </c>
      <c r="Z666" s="48"/>
      <c r="AA666" s="48">
        <v>0</v>
      </c>
      <c r="AB666" s="48"/>
      <c r="AC666" s="48">
        <v>73000</v>
      </c>
      <c r="AD666" s="48"/>
      <c r="AE666" s="48">
        <v>150.80000000000001</v>
      </c>
      <c r="AF666" s="48"/>
      <c r="AG666" s="48">
        <v>0</v>
      </c>
      <c r="AH666" s="19">
        <f t="shared" si="34"/>
        <v>1579371.5399999998</v>
      </c>
      <c r="AI666" s="48">
        <f t="shared" si="35"/>
        <v>1579371.5399999998</v>
      </c>
    </row>
    <row r="667" spans="1:35" x14ac:dyDescent="0.2">
      <c r="A667" s="1" t="s">
        <v>358</v>
      </c>
      <c r="C667" s="1" t="s">
        <v>351</v>
      </c>
      <c r="E667" s="48">
        <v>322877</v>
      </c>
      <c r="F667" s="48"/>
      <c r="G667" s="48">
        <v>4000929</v>
      </c>
      <c r="H667" s="48"/>
      <c r="I667" s="48">
        <v>197353</v>
      </c>
      <c r="J667" s="48"/>
      <c r="K667" s="48">
        <v>0</v>
      </c>
      <c r="L667" s="48"/>
      <c r="M667" s="48">
        <v>279080</v>
      </c>
      <c r="N667" s="48"/>
      <c r="O667" s="48">
        <v>98972</v>
      </c>
      <c r="P667" s="48"/>
      <c r="Q667" s="48">
        <v>131</v>
      </c>
      <c r="R667" s="48"/>
      <c r="S667" s="48">
        <f>48121+1024</f>
        <v>49145</v>
      </c>
      <c r="T667" s="48"/>
      <c r="U667" s="48">
        <v>0</v>
      </c>
      <c r="V667" s="48"/>
      <c r="W667" s="48">
        <v>0</v>
      </c>
      <c r="X667" s="48"/>
      <c r="Y667" s="48">
        <v>0</v>
      </c>
      <c r="Z667" s="48"/>
      <c r="AA667" s="48">
        <v>270224</v>
      </c>
      <c r="AB667" s="48"/>
      <c r="AC667" s="48">
        <v>0</v>
      </c>
      <c r="AD667" s="48"/>
      <c r="AE667" s="48">
        <v>0</v>
      </c>
      <c r="AF667" s="48"/>
      <c r="AG667" s="48">
        <v>0</v>
      </c>
      <c r="AH667" s="19">
        <f t="shared" si="34"/>
        <v>5218711</v>
      </c>
      <c r="AI667" s="48">
        <f t="shared" si="35"/>
        <v>5218711</v>
      </c>
    </row>
    <row r="668" spans="1:35" x14ac:dyDescent="0.2">
      <c r="A668" s="1" t="s">
        <v>304</v>
      </c>
      <c r="C668" s="1" t="s">
        <v>293</v>
      </c>
      <c r="E668" s="48">
        <v>2589062</v>
      </c>
      <c r="F668" s="48"/>
      <c r="G668" s="48">
        <v>0</v>
      </c>
      <c r="H668" s="48"/>
      <c r="I668" s="48">
        <v>31903</v>
      </c>
      <c r="J668" s="48"/>
      <c r="K668" s="48">
        <v>0</v>
      </c>
      <c r="L668" s="48"/>
      <c r="M668" s="48">
        <v>34981</v>
      </c>
      <c r="N668" s="48"/>
      <c r="O668" s="48">
        <v>178182</v>
      </c>
      <c r="P668" s="48"/>
      <c r="Q668" s="48">
        <v>0</v>
      </c>
      <c r="R668" s="48"/>
      <c r="S668" s="48">
        <v>22656</v>
      </c>
      <c r="T668" s="48"/>
      <c r="U668" s="48">
        <v>0</v>
      </c>
      <c r="V668" s="48"/>
      <c r="W668" s="48">
        <v>0</v>
      </c>
      <c r="X668" s="48"/>
      <c r="Y668" s="48">
        <v>0</v>
      </c>
      <c r="Z668" s="48"/>
      <c r="AA668" s="48">
        <v>0</v>
      </c>
      <c r="AB668" s="48"/>
      <c r="AC668" s="48">
        <v>0</v>
      </c>
      <c r="AD668" s="48"/>
      <c r="AE668" s="48">
        <v>72710</v>
      </c>
      <c r="AF668" s="48"/>
      <c r="AG668" s="48">
        <v>0</v>
      </c>
      <c r="AH668" s="19">
        <f t="shared" si="34"/>
        <v>2929494</v>
      </c>
      <c r="AI668" s="48">
        <f t="shared" si="35"/>
        <v>2929494</v>
      </c>
    </row>
    <row r="669" spans="1:35" x14ac:dyDescent="0.2">
      <c r="A669" s="1" t="s">
        <v>152</v>
      </c>
      <c r="C669" s="1" t="s">
        <v>441</v>
      </c>
      <c r="E669" s="48">
        <v>38838.559999999998</v>
      </c>
      <c r="F669" s="48"/>
      <c r="G669" s="48">
        <v>241590.19</v>
      </c>
      <c r="H669" s="48"/>
      <c r="I669" s="48">
        <v>37356.07</v>
      </c>
      <c r="J669" s="48"/>
      <c r="K669" s="48">
        <v>0</v>
      </c>
      <c r="L669" s="48"/>
      <c r="M669" s="48">
        <v>155223.75</v>
      </c>
      <c r="N669" s="48"/>
      <c r="O669" s="48">
        <v>35956.5</v>
      </c>
      <c r="P669" s="48"/>
      <c r="Q669" s="48">
        <v>580.27</v>
      </c>
      <c r="R669" s="48"/>
      <c r="S669" s="48">
        <v>15619.81</v>
      </c>
      <c r="T669" s="48"/>
      <c r="U669" s="48">
        <v>0</v>
      </c>
      <c r="V669" s="48"/>
      <c r="W669" s="48">
        <v>0</v>
      </c>
      <c r="X669" s="48"/>
      <c r="Y669" s="48">
        <v>0</v>
      </c>
      <c r="Z669" s="48"/>
      <c r="AA669" s="48">
        <v>0</v>
      </c>
      <c r="AB669" s="48"/>
      <c r="AC669" s="48">
        <v>0</v>
      </c>
      <c r="AD669" s="48"/>
      <c r="AE669" s="48">
        <v>0</v>
      </c>
      <c r="AF669" s="48"/>
      <c r="AG669" s="48">
        <v>0</v>
      </c>
      <c r="AH669" s="19">
        <f t="shared" si="34"/>
        <v>525165.15</v>
      </c>
      <c r="AI669" s="48">
        <f t="shared" si="35"/>
        <v>525165.15</v>
      </c>
    </row>
    <row r="670" spans="1:35" x14ac:dyDescent="0.2">
      <c r="A670" s="1" t="s">
        <v>272</v>
      </c>
      <c r="C670" s="1" t="s">
        <v>269</v>
      </c>
      <c r="E670" s="48">
        <v>3623.58</v>
      </c>
      <c r="F670" s="48"/>
      <c r="G670" s="48">
        <v>39324.69</v>
      </c>
      <c r="H670" s="48"/>
      <c r="I670" s="48">
        <v>8731.5</v>
      </c>
      <c r="J670" s="48"/>
      <c r="K670" s="48">
        <v>0</v>
      </c>
      <c r="L670" s="48"/>
      <c r="M670" s="48">
        <v>50</v>
      </c>
      <c r="N670" s="48"/>
      <c r="O670" s="48">
        <v>105</v>
      </c>
      <c r="P670" s="48"/>
      <c r="Q670" s="48">
        <v>0</v>
      </c>
      <c r="R670" s="48"/>
      <c r="S670" s="48">
        <v>542.13</v>
      </c>
      <c r="T670" s="48"/>
      <c r="U670" s="48">
        <v>0</v>
      </c>
      <c r="V670" s="48"/>
      <c r="W670" s="48">
        <v>0</v>
      </c>
      <c r="X670" s="48"/>
      <c r="Y670" s="48">
        <v>0</v>
      </c>
      <c r="Z670" s="48"/>
      <c r="AA670" s="48">
        <v>0</v>
      </c>
      <c r="AB670" s="48"/>
      <c r="AC670" s="48">
        <v>0</v>
      </c>
      <c r="AD670" s="48"/>
      <c r="AE670" s="48">
        <v>0</v>
      </c>
      <c r="AF670" s="48"/>
      <c r="AG670" s="48">
        <v>0</v>
      </c>
      <c r="AH670" s="19">
        <f t="shared" si="34"/>
        <v>52376.9</v>
      </c>
      <c r="AI670" s="48">
        <f t="shared" si="35"/>
        <v>52376.9</v>
      </c>
    </row>
    <row r="671" spans="1:35" x14ac:dyDescent="0.2">
      <c r="A671" s="1" t="s">
        <v>489</v>
      </c>
      <c r="C671" s="1" t="s">
        <v>487</v>
      </c>
      <c r="E671" s="48">
        <v>320743</v>
      </c>
      <c r="F671" s="48"/>
      <c r="G671" s="48">
        <v>0</v>
      </c>
      <c r="H671" s="48"/>
      <c r="I671" s="48">
        <v>106484</v>
      </c>
      <c r="J671" s="48"/>
      <c r="K671" s="48">
        <v>0</v>
      </c>
      <c r="L671" s="48"/>
      <c r="M671" s="48">
        <v>13047</v>
      </c>
      <c r="N671" s="48"/>
      <c r="O671" s="48">
        <v>80628</v>
      </c>
      <c r="P671" s="48"/>
      <c r="Q671" s="48">
        <v>4461</v>
      </c>
      <c r="R671" s="48"/>
      <c r="S671" s="48">
        <v>31996</v>
      </c>
      <c r="T671" s="48"/>
      <c r="U671" s="48">
        <v>0</v>
      </c>
      <c r="V671" s="48"/>
      <c r="W671" s="48">
        <v>0</v>
      </c>
      <c r="X671" s="48"/>
      <c r="Y671" s="48">
        <v>0</v>
      </c>
      <c r="Z671" s="48"/>
      <c r="AA671" s="48">
        <v>0</v>
      </c>
      <c r="AB671" s="48"/>
      <c r="AC671" s="48">
        <v>0</v>
      </c>
      <c r="AD671" s="48"/>
      <c r="AE671" s="48">
        <v>0</v>
      </c>
      <c r="AF671" s="48"/>
      <c r="AG671" s="48">
        <v>0</v>
      </c>
      <c r="AH671" s="19">
        <f t="shared" si="34"/>
        <v>557359</v>
      </c>
      <c r="AI671" s="48">
        <f t="shared" si="35"/>
        <v>557359</v>
      </c>
    </row>
    <row r="672" spans="1:35" x14ac:dyDescent="0.2">
      <c r="A672" s="1" t="s">
        <v>224</v>
      </c>
      <c r="C672" s="1" t="s">
        <v>532</v>
      </c>
      <c r="E672" s="48">
        <v>10509.11</v>
      </c>
      <c r="F672" s="48"/>
      <c r="G672" s="48">
        <v>0</v>
      </c>
      <c r="H672" s="48"/>
      <c r="I672" s="48">
        <v>14757.57</v>
      </c>
      <c r="J672" s="48"/>
      <c r="K672" s="48">
        <v>0</v>
      </c>
      <c r="L672" s="48"/>
      <c r="M672" s="48">
        <v>1009.29</v>
      </c>
      <c r="N672" s="48"/>
      <c r="O672" s="48">
        <v>0</v>
      </c>
      <c r="P672" s="48"/>
      <c r="Q672" s="48">
        <v>18.22</v>
      </c>
      <c r="R672" s="48"/>
      <c r="S672" s="48">
        <v>11826.05</v>
      </c>
      <c r="T672" s="48"/>
      <c r="U672" s="48">
        <v>0</v>
      </c>
      <c r="V672" s="48"/>
      <c r="W672" s="48">
        <v>0</v>
      </c>
      <c r="X672" s="48"/>
      <c r="Y672" s="48">
        <v>0</v>
      </c>
      <c r="Z672" s="48"/>
      <c r="AA672" s="48">
        <v>0</v>
      </c>
      <c r="AB672" s="48"/>
      <c r="AC672" s="48">
        <v>0</v>
      </c>
      <c r="AD672" s="48"/>
      <c r="AE672" s="48">
        <v>0</v>
      </c>
      <c r="AF672" s="48"/>
      <c r="AG672" s="48">
        <v>0</v>
      </c>
      <c r="AH672" s="19">
        <f t="shared" si="34"/>
        <v>38120.240000000005</v>
      </c>
      <c r="AI672" s="48">
        <f t="shared" si="35"/>
        <v>38120.240000000005</v>
      </c>
    </row>
    <row r="673" spans="1:35" x14ac:dyDescent="0.2">
      <c r="A673" s="1" t="s">
        <v>216</v>
      </c>
      <c r="C673" s="1" t="s">
        <v>518</v>
      </c>
      <c r="E673" s="48">
        <v>13889.1</v>
      </c>
      <c r="F673" s="48"/>
      <c r="G673" s="48">
        <v>0</v>
      </c>
      <c r="H673" s="48"/>
      <c r="I673" s="48">
        <v>5242.18</v>
      </c>
      <c r="J673" s="48"/>
      <c r="K673" s="48">
        <v>0</v>
      </c>
      <c r="L673" s="48"/>
      <c r="M673" s="48">
        <v>0</v>
      </c>
      <c r="N673" s="48"/>
      <c r="O673" s="48">
        <v>1526.24</v>
      </c>
      <c r="P673" s="48"/>
      <c r="Q673" s="48">
        <v>14.19</v>
      </c>
      <c r="R673" s="48"/>
      <c r="S673" s="48">
        <v>0</v>
      </c>
      <c r="T673" s="48"/>
      <c r="U673" s="48">
        <v>0</v>
      </c>
      <c r="V673" s="48"/>
      <c r="W673" s="48">
        <v>0</v>
      </c>
      <c r="X673" s="48"/>
      <c r="Y673" s="48">
        <v>0</v>
      </c>
      <c r="Z673" s="48"/>
      <c r="AA673" s="48">
        <v>0</v>
      </c>
      <c r="AB673" s="48"/>
      <c r="AC673" s="48">
        <v>0</v>
      </c>
      <c r="AD673" s="48"/>
      <c r="AE673" s="48">
        <v>0</v>
      </c>
      <c r="AF673" s="48"/>
      <c r="AG673" s="48">
        <v>0</v>
      </c>
      <c r="AH673" s="19">
        <f t="shared" si="34"/>
        <v>20671.71</v>
      </c>
      <c r="AI673" s="48">
        <f t="shared" si="35"/>
        <v>20671.71</v>
      </c>
    </row>
    <row r="674" spans="1:35" x14ac:dyDescent="0.2">
      <c r="A674" s="1" t="s">
        <v>348</v>
      </c>
      <c r="C674" s="1" t="s">
        <v>345</v>
      </c>
      <c r="E674" s="48">
        <v>1006812</v>
      </c>
      <c r="F674" s="48"/>
      <c r="G674" s="48">
        <v>1363034</v>
      </c>
      <c r="H674" s="48"/>
      <c r="I674" s="48">
        <v>550246</v>
      </c>
      <c r="J674" s="48"/>
      <c r="K674" s="48">
        <v>0</v>
      </c>
      <c r="L674" s="48"/>
      <c r="M674" s="48">
        <v>56628</v>
      </c>
      <c r="N674" s="48"/>
      <c r="O674" s="48">
        <v>43406</v>
      </c>
      <c r="P674" s="48"/>
      <c r="Q674" s="48">
        <v>1358</v>
      </c>
      <c r="R674" s="48"/>
      <c r="S674" s="48">
        <v>180030</v>
      </c>
      <c r="T674" s="48"/>
      <c r="U674" s="48">
        <v>0</v>
      </c>
      <c r="V674" s="48"/>
      <c r="W674" s="48">
        <v>0</v>
      </c>
      <c r="X674" s="48"/>
      <c r="Y674" s="48">
        <v>0</v>
      </c>
      <c r="Z674" s="48"/>
      <c r="AA674" s="48">
        <v>0</v>
      </c>
      <c r="AB674" s="48"/>
      <c r="AC674" s="48">
        <v>0</v>
      </c>
      <c r="AD674" s="48"/>
      <c r="AE674" s="48">
        <v>0</v>
      </c>
      <c r="AF674" s="48"/>
      <c r="AG674" s="48">
        <v>0</v>
      </c>
      <c r="AH674" s="19">
        <f t="shared" si="34"/>
        <v>3201514</v>
      </c>
      <c r="AI674" s="48">
        <f t="shared" si="35"/>
        <v>3201514</v>
      </c>
    </row>
    <row r="675" spans="1:35" x14ac:dyDescent="0.2">
      <c r="A675" s="1" t="s">
        <v>317</v>
      </c>
      <c r="C675" s="1" t="s">
        <v>306</v>
      </c>
      <c r="E675" s="48">
        <v>1503</v>
      </c>
      <c r="F675" s="48"/>
      <c r="G675" s="48">
        <v>0</v>
      </c>
      <c r="H675" s="48"/>
      <c r="I675" s="48">
        <v>12628</v>
      </c>
      <c r="J675" s="48"/>
      <c r="K675" s="48">
        <v>0</v>
      </c>
      <c r="L675" s="48"/>
      <c r="M675" s="48">
        <v>0</v>
      </c>
      <c r="N675" s="48"/>
      <c r="O675" s="48">
        <v>1847</v>
      </c>
      <c r="P675" s="48"/>
      <c r="Q675" s="48">
        <v>163</v>
      </c>
      <c r="R675" s="48"/>
      <c r="S675" s="48">
        <v>1463</v>
      </c>
      <c r="T675" s="48"/>
      <c r="U675" s="48">
        <v>0</v>
      </c>
      <c r="V675" s="48"/>
      <c r="W675" s="48">
        <v>0</v>
      </c>
      <c r="X675" s="48"/>
      <c r="Y675" s="48">
        <v>0</v>
      </c>
      <c r="Z675" s="48"/>
      <c r="AA675" s="48">
        <v>0</v>
      </c>
      <c r="AB675" s="48"/>
      <c r="AC675" s="48">
        <v>0</v>
      </c>
      <c r="AD675" s="48"/>
      <c r="AE675" s="48">
        <v>25339</v>
      </c>
      <c r="AF675" s="48"/>
      <c r="AG675" s="48">
        <v>0</v>
      </c>
      <c r="AH675" s="19">
        <f t="shared" si="34"/>
        <v>42943</v>
      </c>
      <c r="AI675" s="48">
        <f t="shared" si="35"/>
        <v>42943</v>
      </c>
    </row>
    <row r="676" spans="1:35" x14ac:dyDescent="0.2"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19"/>
      <c r="AI676" s="48"/>
    </row>
    <row r="677" spans="1:35" ht="12.75" x14ac:dyDescent="0.2"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19"/>
      <c r="AI677" s="88" t="s">
        <v>733</v>
      </c>
    </row>
    <row r="678" spans="1:35" x14ac:dyDescent="0.2"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19"/>
      <c r="AI678" s="48"/>
    </row>
    <row r="679" spans="1:35" x14ac:dyDescent="0.2">
      <c r="A679" s="1" t="s">
        <v>394</v>
      </c>
      <c r="C679" s="1" t="s">
        <v>390</v>
      </c>
      <c r="E679" s="68">
        <v>218200</v>
      </c>
      <c r="F679" s="48"/>
      <c r="G679" s="68">
        <v>0</v>
      </c>
      <c r="H679" s="68"/>
      <c r="I679" s="68">
        <v>2479</v>
      </c>
      <c r="J679" s="68"/>
      <c r="K679" s="68">
        <v>0</v>
      </c>
      <c r="L679" s="68"/>
      <c r="M679" s="68">
        <v>13742</v>
      </c>
      <c r="N679" s="68"/>
      <c r="O679" s="68">
        <v>9011</v>
      </c>
      <c r="P679" s="68"/>
      <c r="Q679" s="68">
        <v>1245</v>
      </c>
      <c r="R679" s="68"/>
      <c r="S679" s="68">
        <v>6138</v>
      </c>
      <c r="T679" s="68"/>
      <c r="U679" s="68">
        <v>0</v>
      </c>
      <c r="V679" s="68"/>
      <c r="W679" s="68">
        <v>0</v>
      </c>
      <c r="X679" s="68"/>
      <c r="Y679" s="68">
        <v>0</v>
      </c>
      <c r="Z679" s="68"/>
      <c r="AA679" s="68">
        <v>0</v>
      </c>
      <c r="AB679" s="68"/>
      <c r="AC679" s="68">
        <v>0</v>
      </c>
      <c r="AD679" s="68"/>
      <c r="AE679" s="68">
        <v>0</v>
      </c>
      <c r="AF679" s="68"/>
      <c r="AG679" s="68">
        <v>0</v>
      </c>
      <c r="AH679" s="68">
        <f t="shared" si="34"/>
        <v>250815</v>
      </c>
      <c r="AI679" s="68">
        <f t="shared" si="35"/>
        <v>250815</v>
      </c>
    </row>
    <row r="680" spans="1:35" x14ac:dyDescent="0.2">
      <c r="A680" s="1" t="s">
        <v>538</v>
      </c>
      <c r="C680" s="1" t="s">
        <v>77</v>
      </c>
      <c r="E680" s="48">
        <v>4026</v>
      </c>
      <c r="F680" s="48"/>
      <c r="G680" s="48">
        <v>0</v>
      </c>
      <c r="H680" s="48"/>
      <c r="I680" s="48">
        <v>10163</v>
      </c>
      <c r="J680" s="48"/>
      <c r="K680" s="48">
        <v>0</v>
      </c>
      <c r="L680" s="48"/>
      <c r="M680" s="48">
        <v>0</v>
      </c>
      <c r="N680" s="48"/>
      <c r="O680" s="48">
        <v>0</v>
      </c>
      <c r="P680" s="48"/>
      <c r="Q680" s="48">
        <v>197</v>
      </c>
      <c r="R680" s="48"/>
      <c r="S680" s="48">
        <v>1102</v>
      </c>
      <c r="T680" s="48"/>
      <c r="U680" s="48">
        <v>0</v>
      </c>
      <c r="V680" s="48"/>
      <c r="W680" s="48">
        <v>0</v>
      </c>
      <c r="X680" s="48"/>
      <c r="Y680" s="48">
        <v>0</v>
      </c>
      <c r="Z680" s="48"/>
      <c r="AA680" s="48">
        <v>0</v>
      </c>
      <c r="AB680" s="48"/>
      <c r="AC680" s="48">
        <v>0</v>
      </c>
      <c r="AD680" s="48"/>
      <c r="AE680" s="48">
        <v>0</v>
      </c>
      <c r="AF680" s="48"/>
      <c r="AG680" s="48">
        <v>0</v>
      </c>
      <c r="AH680" s="19">
        <f t="shared" si="34"/>
        <v>15488</v>
      </c>
      <c r="AI680" s="48">
        <f t="shared" si="35"/>
        <v>15488</v>
      </c>
    </row>
    <row r="681" spans="1:35" x14ac:dyDescent="0.2">
      <c r="A681" s="1" t="s">
        <v>417</v>
      </c>
      <c r="C681" s="1" t="s">
        <v>414</v>
      </c>
      <c r="E681" s="48">
        <v>7508</v>
      </c>
      <c r="F681" s="48"/>
      <c r="G681" s="48">
        <v>0</v>
      </c>
      <c r="H681" s="48"/>
      <c r="I681" s="48">
        <v>6495</v>
      </c>
      <c r="J681" s="48"/>
      <c r="K681" s="48">
        <v>0</v>
      </c>
      <c r="L681" s="48"/>
      <c r="M681" s="48">
        <v>0</v>
      </c>
      <c r="N681" s="48"/>
      <c r="O681" s="48">
        <v>3241</v>
      </c>
      <c r="P681" s="48"/>
      <c r="Q681" s="48">
        <v>52</v>
      </c>
      <c r="R681" s="48"/>
      <c r="S681" s="48">
        <v>0</v>
      </c>
      <c r="T681" s="48"/>
      <c r="U681" s="48">
        <v>0</v>
      </c>
      <c r="V681" s="48"/>
      <c r="W681" s="48">
        <v>0</v>
      </c>
      <c r="X681" s="48"/>
      <c r="Y681" s="48">
        <v>0</v>
      </c>
      <c r="Z681" s="48"/>
      <c r="AA681" s="48">
        <v>0</v>
      </c>
      <c r="AB681" s="48"/>
      <c r="AC681" s="48">
        <v>0</v>
      </c>
      <c r="AD681" s="48"/>
      <c r="AE681" s="48">
        <v>0</v>
      </c>
      <c r="AF681" s="48"/>
      <c r="AG681" s="48">
        <v>0</v>
      </c>
      <c r="AH681" s="19">
        <f t="shared" si="34"/>
        <v>17296</v>
      </c>
      <c r="AI681" s="48">
        <f t="shared" si="35"/>
        <v>17296</v>
      </c>
    </row>
    <row r="682" spans="1:35" x14ac:dyDescent="0.2">
      <c r="A682" s="1" t="s">
        <v>220</v>
      </c>
      <c r="C682" s="1" t="s">
        <v>521</v>
      </c>
      <c r="E682" s="48">
        <v>19514.419999999998</v>
      </c>
      <c r="F682" s="48"/>
      <c r="G682" s="48">
        <v>0</v>
      </c>
      <c r="H682" s="48"/>
      <c r="I682" s="48">
        <v>3637.44</v>
      </c>
      <c r="J682" s="48"/>
      <c r="K682" s="48">
        <v>0</v>
      </c>
      <c r="L682" s="48"/>
      <c r="M682" s="48">
        <v>28.85</v>
      </c>
      <c r="N682" s="48"/>
      <c r="O682" s="48">
        <v>2040.31</v>
      </c>
      <c r="P682" s="48"/>
      <c r="Q682" s="48">
        <v>13.93</v>
      </c>
      <c r="R682" s="48"/>
      <c r="S682" s="48">
        <v>200.95</v>
      </c>
      <c r="T682" s="48"/>
      <c r="U682" s="48">
        <v>0</v>
      </c>
      <c r="V682" s="48"/>
      <c r="W682" s="48">
        <v>0</v>
      </c>
      <c r="X682" s="48"/>
      <c r="Y682" s="48">
        <v>0</v>
      </c>
      <c r="Z682" s="48"/>
      <c r="AA682" s="48">
        <v>0</v>
      </c>
      <c r="AB682" s="48"/>
      <c r="AC682" s="48">
        <v>0</v>
      </c>
      <c r="AD682" s="48"/>
      <c r="AE682" s="48">
        <v>0</v>
      </c>
      <c r="AF682" s="48"/>
      <c r="AG682" s="48">
        <v>0</v>
      </c>
      <c r="AH682" s="19">
        <f t="shared" si="34"/>
        <v>25435.899999999998</v>
      </c>
      <c r="AI682" s="48">
        <f t="shared" si="35"/>
        <v>25435.899999999998</v>
      </c>
    </row>
  </sheetData>
  <sortState ref="A9:AI1156">
    <sortCondition ref="A9:A1156"/>
    <sortCondition ref="C9:C1156"/>
  </sortState>
  <printOptions horizontalCentered="1"/>
  <pageMargins left="0.5" right="0.5" top="0.5" bottom="0.5" header="0" footer="0.3"/>
  <pageSetup scale="82" firstPageNumber="8" fitToWidth="2" fitToHeight="20" pageOrder="overThenDown" orientation="portrait" useFirstPageNumber="1" horizontalDpi="300" verticalDpi="300" r:id="rId1"/>
  <headerFooter scaleWithDoc="0" alignWithMargins="0">
    <oddFooter>&amp;C&amp;P</oddFooter>
  </headerFooter>
  <rowBreaks count="1" manualBreakCount="1">
    <brk id="342" max="34" man="1"/>
  </rowBreaks>
  <colBreaks count="1" manualBreakCount="1">
    <brk id="18" max="6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1"/>
  <sheetViews>
    <sheetView tabSelected="1" view="pageBreakPreview" zoomScale="70" zoomScaleNormal="100" zoomScaleSheetLayoutView="70" workbookViewId="0">
      <pane xSplit="4" ySplit="7" topLeftCell="E419" activePane="bottomRight" state="frozen"/>
      <selection pane="topRight" activeCell="E1" sqref="E1"/>
      <selection pane="bottomLeft" activeCell="A8" sqref="A8"/>
      <selection pane="bottomRight" activeCell="W421" sqref="W421"/>
    </sheetView>
  </sheetViews>
  <sheetFormatPr defaultColWidth="9.33203125" defaultRowHeight="12" x14ac:dyDescent="0.2"/>
  <cols>
    <col min="1" max="1" width="20.83203125" style="1" customWidth="1"/>
    <col min="2" max="2" width="1.83203125" style="1" customWidth="1"/>
    <col min="3" max="3" width="14.33203125" style="1" customWidth="1"/>
    <col min="4" max="4" width="1.83203125" style="1" customWidth="1"/>
    <col min="5" max="5" width="12.6640625" style="5" customWidth="1"/>
    <col min="6" max="6" width="1.83203125" style="5" customWidth="1"/>
    <col min="7" max="7" width="12.6640625" style="5" customWidth="1"/>
    <col min="8" max="8" width="1.83203125" style="5" customWidth="1"/>
    <col min="9" max="9" width="11.83203125" style="5" customWidth="1"/>
    <col min="10" max="10" width="1.83203125" style="5" customWidth="1"/>
    <col min="11" max="11" width="13.1640625" style="5" customWidth="1"/>
    <col min="12" max="12" width="1.83203125" style="5" customWidth="1"/>
    <col min="13" max="13" width="11.83203125" style="5" customWidth="1"/>
    <col min="14" max="14" width="1.83203125" style="5" customWidth="1"/>
    <col min="15" max="15" width="13.5" style="5" customWidth="1"/>
    <col min="16" max="16" width="1.83203125" style="5" customWidth="1"/>
    <col min="17" max="17" width="15.83203125" style="5" customWidth="1"/>
    <col min="18" max="18" width="1.83203125" style="5" customWidth="1"/>
    <col min="19" max="19" width="12.1640625" style="5" customWidth="1"/>
    <col min="20" max="20" width="1.83203125" style="5" customWidth="1"/>
    <col min="21" max="21" width="11.83203125" style="5" customWidth="1"/>
    <col min="22" max="22" width="1.83203125" style="5" customWidth="1"/>
    <col min="23" max="23" width="13" style="5" customWidth="1"/>
    <col min="24" max="24" width="1.83203125" style="5" customWidth="1"/>
    <col min="25" max="25" width="14.33203125" style="5" customWidth="1"/>
    <col min="26" max="26" width="1.83203125" style="5" customWidth="1"/>
    <col min="27" max="27" width="14.33203125" style="5" customWidth="1"/>
    <col min="28" max="28" width="1.83203125" style="5" customWidth="1"/>
    <col min="29" max="29" width="12.33203125" style="5" customWidth="1"/>
    <col min="30" max="30" width="1.83203125" style="5" customWidth="1"/>
    <col min="31" max="31" width="14.5" style="1" customWidth="1"/>
    <col min="32" max="32" width="1.83203125" style="1" customWidth="1"/>
    <col min="33" max="33" width="16.6640625" style="55" customWidth="1"/>
    <col min="34" max="34" width="1.83203125" style="55" customWidth="1"/>
    <col min="35" max="35" width="12.83203125" style="55" bestFit="1" customWidth="1"/>
    <col min="36" max="36" width="1.83203125" style="55" customWidth="1"/>
    <col min="37" max="37" width="10.83203125" style="55" bestFit="1" customWidth="1"/>
    <col min="38" max="38" width="13.1640625" style="5" bestFit="1" customWidth="1"/>
    <col min="39" max="39" width="14" style="5" customWidth="1"/>
    <col min="40" max="40" width="23.33203125" style="1" bestFit="1" customWidth="1"/>
    <col min="41" max="16384" width="9.33203125" style="1"/>
  </cols>
  <sheetData>
    <row r="1" spans="1:41" ht="12.6" customHeight="1" x14ac:dyDescent="0.2">
      <c r="A1" s="84" t="s">
        <v>572</v>
      </c>
      <c r="B1" s="84"/>
      <c r="C1" s="84"/>
      <c r="D1" s="84"/>
      <c r="AG1" s="55" t="s">
        <v>756</v>
      </c>
    </row>
    <row r="2" spans="1:41" ht="12.6" customHeight="1" x14ac:dyDescent="0.2">
      <c r="A2" s="84" t="s">
        <v>732</v>
      </c>
      <c r="B2" s="84"/>
      <c r="C2" s="84"/>
      <c r="D2" s="84"/>
      <c r="AG2" s="55" t="s">
        <v>757</v>
      </c>
    </row>
    <row r="3" spans="1:41" ht="12.6" customHeight="1" x14ac:dyDescent="0.2">
      <c r="A3" s="84" t="s">
        <v>844</v>
      </c>
      <c r="B3" s="84"/>
      <c r="C3" s="84"/>
      <c r="D3" s="84"/>
      <c r="AG3" s="55" t="s">
        <v>758</v>
      </c>
    </row>
    <row r="4" spans="1:41" ht="12.6" customHeight="1" x14ac:dyDescent="0.2">
      <c r="A4" s="6" t="s">
        <v>733</v>
      </c>
    </row>
    <row r="5" spans="1:41" s="78" customFormat="1" ht="12.6" customHeight="1" x14ac:dyDescent="0.2">
      <c r="A5" s="84"/>
      <c r="B5" s="84"/>
      <c r="C5" s="84"/>
      <c r="D5" s="84"/>
      <c r="E5" s="83" t="s">
        <v>595</v>
      </c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 t="s">
        <v>611</v>
      </c>
      <c r="X5" s="83"/>
      <c r="Y5" s="82"/>
      <c r="Z5" s="82"/>
      <c r="AA5" s="82"/>
      <c r="AB5" s="82"/>
      <c r="AC5" s="81" t="s">
        <v>592</v>
      </c>
      <c r="AD5" s="81"/>
      <c r="AE5" s="80"/>
      <c r="AF5" s="80"/>
      <c r="AG5" s="56" t="s">
        <v>749</v>
      </c>
      <c r="AH5" s="56"/>
      <c r="AI5" s="56" t="s">
        <v>751</v>
      </c>
      <c r="AJ5" s="56"/>
      <c r="AK5" s="56" t="s">
        <v>754</v>
      </c>
      <c r="AL5" s="73"/>
      <c r="AM5" s="79"/>
    </row>
    <row r="6" spans="1:41" s="78" customFormat="1" ht="12.6" customHeight="1" x14ac:dyDescent="0.2">
      <c r="A6" s="84"/>
      <c r="B6" s="84"/>
      <c r="C6" s="84"/>
      <c r="D6" s="84"/>
      <c r="E6" s="83" t="s">
        <v>596</v>
      </c>
      <c r="F6" s="83"/>
      <c r="G6" s="83" t="s">
        <v>598</v>
      </c>
      <c r="H6" s="83"/>
      <c r="I6" s="83" t="s">
        <v>600</v>
      </c>
      <c r="J6" s="83"/>
      <c r="K6" s="83" t="s">
        <v>602</v>
      </c>
      <c r="L6" s="83"/>
      <c r="M6" s="83" t="s">
        <v>604</v>
      </c>
      <c r="N6" s="83"/>
      <c r="O6" s="82"/>
      <c r="P6" s="82"/>
      <c r="Q6" s="83" t="s">
        <v>605</v>
      </c>
      <c r="R6" s="83"/>
      <c r="S6" s="83" t="s">
        <v>607</v>
      </c>
      <c r="T6" s="83"/>
      <c r="U6" s="83" t="s">
        <v>609</v>
      </c>
      <c r="V6" s="83"/>
      <c r="W6" s="83" t="s">
        <v>612</v>
      </c>
      <c r="X6" s="83"/>
      <c r="Y6" s="72"/>
      <c r="Z6" s="72"/>
      <c r="AA6" s="82"/>
      <c r="AB6" s="82"/>
      <c r="AC6" s="81" t="s">
        <v>593</v>
      </c>
      <c r="AD6" s="81"/>
      <c r="AE6" s="80"/>
      <c r="AF6" s="80"/>
      <c r="AG6" s="56" t="s">
        <v>707</v>
      </c>
      <c r="AH6" s="56"/>
      <c r="AI6" s="56" t="s">
        <v>752</v>
      </c>
      <c r="AJ6" s="56"/>
      <c r="AK6" s="56" t="s">
        <v>755</v>
      </c>
      <c r="AL6" s="73"/>
      <c r="AM6" s="79"/>
    </row>
    <row r="7" spans="1:41" s="71" customFormat="1" ht="12.6" customHeight="1" x14ac:dyDescent="0.2">
      <c r="A7" s="75" t="s">
        <v>674</v>
      </c>
      <c r="C7" s="75" t="s">
        <v>675</v>
      </c>
      <c r="E7" s="74" t="s">
        <v>597</v>
      </c>
      <c r="F7" s="72"/>
      <c r="G7" s="74" t="s">
        <v>599</v>
      </c>
      <c r="H7" s="72"/>
      <c r="I7" s="74" t="s">
        <v>601</v>
      </c>
      <c r="J7" s="72"/>
      <c r="K7" s="74" t="s">
        <v>739</v>
      </c>
      <c r="L7" s="72"/>
      <c r="M7" s="74" t="s">
        <v>583</v>
      </c>
      <c r="N7" s="72"/>
      <c r="O7" s="77" t="s">
        <v>569</v>
      </c>
      <c r="P7" s="73"/>
      <c r="Q7" s="74" t="s">
        <v>738</v>
      </c>
      <c r="R7" s="72"/>
      <c r="S7" s="74" t="s">
        <v>608</v>
      </c>
      <c r="T7" s="72"/>
      <c r="U7" s="74" t="s">
        <v>610</v>
      </c>
      <c r="V7" s="72"/>
      <c r="W7" s="74" t="s">
        <v>613</v>
      </c>
      <c r="X7" s="72"/>
      <c r="Y7" s="74" t="s">
        <v>571</v>
      </c>
      <c r="Z7" s="72"/>
      <c r="AA7" s="74" t="s">
        <v>614</v>
      </c>
      <c r="AB7" s="72"/>
      <c r="AC7" s="76" t="s">
        <v>615</v>
      </c>
      <c r="AD7" s="9"/>
      <c r="AE7" s="75" t="s">
        <v>698</v>
      </c>
      <c r="AG7" s="57"/>
      <c r="AH7" s="58"/>
      <c r="AI7" s="57" t="s">
        <v>753</v>
      </c>
      <c r="AJ7" s="58"/>
      <c r="AK7" s="57" t="s">
        <v>748</v>
      </c>
      <c r="AL7" s="74" t="s">
        <v>747</v>
      </c>
      <c r="AM7" s="72"/>
    </row>
    <row r="8" spans="1:41" s="71" customFormat="1" ht="12" customHeight="1" x14ac:dyDescent="0.2"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3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9"/>
      <c r="AD8" s="9"/>
      <c r="AE8" s="51"/>
      <c r="AG8" s="58"/>
      <c r="AH8" s="58"/>
      <c r="AI8" s="58"/>
      <c r="AJ8" s="58"/>
      <c r="AK8" s="58"/>
      <c r="AL8" s="8"/>
      <c r="AM8" s="21"/>
      <c r="AN8" s="67"/>
      <c r="AO8" s="67"/>
    </row>
    <row r="9" spans="1:41" s="67" customFormat="1" ht="12" customHeight="1" x14ac:dyDescent="0.2">
      <c r="A9" s="1" t="s">
        <v>264</v>
      </c>
      <c r="B9" s="1"/>
      <c r="C9" s="1" t="s">
        <v>265</v>
      </c>
      <c r="D9" s="1"/>
      <c r="E9" s="68">
        <v>236654.29</v>
      </c>
      <c r="F9" s="48"/>
      <c r="G9" s="68">
        <v>0</v>
      </c>
      <c r="H9" s="68"/>
      <c r="I9" s="68">
        <v>4723.4399999999996</v>
      </c>
      <c r="J9" s="68"/>
      <c r="K9" s="68">
        <v>0</v>
      </c>
      <c r="L9" s="68"/>
      <c r="M9" s="68">
        <v>118275.6</v>
      </c>
      <c r="N9" s="68"/>
      <c r="O9" s="68">
        <v>0</v>
      </c>
      <c r="P9" s="68"/>
      <c r="Q9" s="68">
        <v>79137.03</v>
      </c>
      <c r="R9" s="68"/>
      <c r="S9" s="68">
        <v>0</v>
      </c>
      <c r="T9" s="68"/>
      <c r="U9" s="68">
        <v>0</v>
      </c>
      <c r="V9" s="68"/>
      <c r="W9" s="68">
        <v>0</v>
      </c>
      <c r="X9" s="68"/>
      <c r="Y9" s="68">
        <v>0</v>
      </c>
      <c r="Z9" s="68"/>
      <c r="AA9" s="68">
        <v>0</v>
      </c>
      <c r="AB9" s="68"/>
      <c r="AC9" s="68">
        <v>0</v>
      </c>
      <c r="AD9" s="68"/>
      <c r="AE9" s="68">
        <f>SUM(E9:AC9)</f>
        <v>438790.36</v>
      </c>
      <c r="AF9" s="48"/>
      <c r="AG9" s="59">
        <v>47451.62</v>
      </c>
      <c r="AH9" s="59"/>
      <c r="AI9" s="59">
        <v>50739.01</v>
      </c>
      <c r="AJ9" s="59"/>
      <c r="AK9" s="59">
        <v>98190.63</v>
      </c>
      <c r="AL9" s="8">
        <f>+'Gen Rev'!AI9-'Gen Exp'!AE9+'Gen Exp'!AI9-AK9</f>
        <v>0</v>
      </c>
      <c r="AM9" s="21" t="str">
        <f>'Gen Rev'!A9</f>
        <v>Aberdeen</v>
      </c>
      <c r="AN9" s="67" t="str">
        <f>A9</f>
        <v>Aberdeen</v>
      </c>
      <c r="AO9" s="67" t="b">
        <f t="shared" ref="AO9" si="0">AM9=AN9</f>
        <v>1</v>
      </c>
    </row>
    <row r="10" spans="1:41" s="14" customFormat="1" ht="12" customHeight="1" x14ac:dyDescent="0.2">
      <c r="A10" s="1" t="s">
        <v>365</v>
      </c>
      <c r="B10" s="1"/>
      <c r="C10" s="1" t="s">
        <v>366</v>
      </c>
      <c r="D10" s="1"/>
      <c r="E10" s="48">
        <v>275621</v>
      </c>
      <c r="F10" s="48"/>
      <c r="G10" s="48">
        <v>18780</v>
      </c>
      <c r="H10" s="48"/>
      <c r="I10" s="48">
        <v>10713</v>
      </c>
      <c r="J10" s="48"/>
      <c r="K10" s="48">
        <v>10835</v>
      </c>
      <c r="L10" s="48"/>
      <c r="M10" s="48">
        <v>0</v>
      </c>
      <c r="N10" s="48"/>
      <c r="O10" s="48">
        <v>265161</v>
      </c>
      <c r="P10" s="48"/>
      <c r="Q10" s="48">
        <v>205178</v>
      </c>
      <c r="R10" s="48"/>
      <c r="S10" s="48">
        <v>1513663</v>
      </c>
      <c r="T10" s="48"/>
      <c r="U10" s="48">
        <v>95224</v>
      </c>
      <c r="V10" s="48"/>
      <c r="W10" s="48">
        <v>0</v>
      </c>
      <c r="X10" s="48"/>
      <c r="Y10" s="48">
        <v>0</v>
      </c>
      <c r="Z10" s="48"/>
      <c r="AA10" s="48">
        <v>0</v>
      </c>
      <c r="AB10" s="48"/>
      <c r="AC10" s="48">
        <v>71293</v>
      </c>
      <c r="AD10" s="48"/>
      <c r="AE10" s="48">
        <f>SUM(E10:AC10)</f>
        <v>2466468</v>
      </c>
      <c r="AF10" s="48"/>
      <c r="AG10" s="59"/>
      <c r="AH10" s="59"/>
      <c r="AI10" s="59"/>
      <c r="AJ10" s="59"/>
      <c r="AK10" s="59"/>
      <c r="AL10" s="8">
        <f>+'Gen Rev'!AI10-'Gen Exp'!AE10+'Gen Exp'!AI10-AK10</f>
        <v>637011</v>
      </c>
      <c r="AM10" s="21" t="str">
        <f>'Gen Rev'!A10</f>
        <v>Ada</v>
      </c>
      <c r="AN10" s="67" t="str">
        <f t="shared" ref="AN10:AN76" si="1">A10</f>
        <v>Ada</v>
      </c>
      <c r="AO10" s="67" t="b">
        <f t="shared" ref="AO10:AO76" si="2">AM10=AN10</f>
        <v>1</v>
      </c>
    </row>
    <row r="11" spans="1:41" s="67" customFormat="1" ht="12" customHeight="1" x14ac:dyDescent="0.2">
      <c r="A11" s="1" t="s">
        <v>449</v>
      </c>
      <c r="B11" s="1"/>
      <c r="C11" s="1" t="s">
        <v>450</v>
      </c>
      <c r="D11" s="6"/>
      <c r="E11" s="48">
        <v>800</v>
      </c>
      <c r="F11" s="48"/>
      <c r="G11" s="48">
        <v>0</v>
      </c>
      <c r="H11" s="48"/>
      <c r="I11" s="48">
        <v>0</v>
      </c>
      <c r="J11" s="48"/>
      <c r="K11" s="48">
        <v>0</v>
      </c>
      <c r="L11" s="48"/>
      <c r="M11" s="48">
        <v>4023</v>
      </c>
      <c r="N11" s="48"/>
      <c r="O11" s="48">
        <v>2000</v>
      </c>
      <c r="P11" s="48"/>
      <c r="Q11" s="48">
        <v>9370</v>
      </c>
      <c r="R11" s="48"/>
      <c r="S11" s="48">
        <v>0</v>
      </c>
      <c r="T11" s="48"/>
      <c r="U11" s="48">
        <v>0</v>
      </c>
      <c r="V11" s="48"/>
      <c r="W11" s="48">
        <v>0</v>
      </c>
      <c r="X11" s="48"/>
      <c r="Y11" s="48">
        <v>0</v>
      </c>
      <c r="Z11" s="48"/>
      <c r="AA11" s="48">
        <v>0</v>
      </c>
      <c r="AB11" s="48"/>
      <c r="AC11" s="48">
        <v>0</v>
      </c>
      <c r="AD11" s="48"/>
      <c r="AE11" s="48">
        <f t="shared" ref="AE11:AE50" si="3">SUM(E11:AC11)</f>
        <v>16193</v>
      </c>
      <c r="AF11" s="48"/>
      <c r="AG11" s="59"/>
      <c r="AH11" s="59"/>
      <c r="AI11" s="59"/>
      <c r="AJ11" s="59"/>
      <c r="AK11" s="59"/>
      <c r="AL11" s="8">
        <f>+'Gen Rev'!AI11-'Gen Exp'!AE11+'Gen Exp'!AI11-AK11</f>
        <v>-3396</v>
      </c>
      <c r="AM11" s="21" t="str">
        <f>'Gen Rev'!A11</f>
        <v>Adamsville</v>
      </c>
      <c r="AN11" s="67" t="str">
        <f t="shared" si="1"/>
        <v>Adamsville</v>
      </c>
      <c r="AO11" s="67" t="b">
        <f t="shared" si="2"/>
        <v>1</v>
      </c>
    </row>
    <row r="12" spans="1:41" s="67" customFormat="1" ht="12" customHeight="1" x14ac:dyDescent="0.2">
      <c r="A12" s="1" t="s">
        <v>86</v>
      </c>
      <c r="B12" s="1"/>
      <c r="C12" s="1" t="s">
        <v>351</v>
      </c>
      <c r="D12" s="1"/>
      <c r="E12" s="48">
        <v>263404.3</v>
      </c>
      <c r="F12" s="48"/>
      <c r="G12" s="48">
        <v>0</v>
      </c>
      <c r="H12" s="48"/>
      <c r="I12" s="48">
        <v>1018.68</v>
      </c>
      <c r="J12" s="48"/>
      <c r="K12" s="48">
        <v>0</v>
      </c>
      <c r="L12" s="48"/>
      <c r="M12" s="48">
        <v>10500</v>
      </c>
      <c r="N12" s="48"/>
      <c r="O12" s="48">
        <v>73973.539999999994</v>
      </c>
      <c r="P12" s="48"/>
      <c r="Q12" s="48">
        <v>235067.29</v>
      </c>
      <c r="R12" s="48"/>
      <c r="S12" s="48">
        <v>0</v>
      </c>
      <c r="T12" s="48"/>
      <c r="U12" s="48">
        <v>1101.18</v>
      </c>
      <c r="V12" s="48"/>
      <c r="W12" s="48">
        <v>0</v>
      </c>
      <c r="X12" s="48"/>
      <c r="Y12" s="48">
        <v>12000</v>
      </c>
      <c r="Z12" s="48"/>
      <c r="AA12" s="48">
        <v>0</v>
      </c>
      <c r="AB12" s="48"/>
      <c r="AC12" s="48">
        <v>1120.3599999999999</v>
      </c>
      <c r="AD12" s="48"/>
      <c r="AE12" s="48">
        <f t="shared" si="3"/>
        <v>598185.35</v>
      </c>
      <c r="AF12" s="1"/>
      <c r="AG12" s="55">
        <v>223710.89</v>
      </c>
      <c r="AH12" s="55"/>
      <c r="AI12" s="55">
        <v>-33292.46</v>
      </c>
      <c r="AJ12" s="55"/>
      <c r="AK12" s="55">
        <v>190418.43</v>
      </c>
      <c r="AL12" s="8">
        <f>+'Gen Rev'!AI12-'Gen Exp'!AE12+'Gen Exp'!AI12-AK12</f>
        <v>0</v>
      </c>
      <c r="AM12" s="21" t="str">
        <f>'Gen Rev'!A12</f>
        <v>Addyston</v>
      </c>
      <c r="AN12" s="67" t="str">
        <f t="shared" si="1"/>
        <v>Addyston</v>
      </c>
      <c r="AO12" s="67" t="b">
        <f t="shared" si="2"/>
        <v>1</v>
      </c>
    </row>
    <row r="13" spans="1:41" s="67" customFormat="1" ht="12" customHeight="1" x14ac:dyDescent="0.2">
      <c r="A13" s="1" t="s">
        <v>195</v>
      </c>
      <c r="B13" s="1"/>
      <c r="C13" s="1" t="s">
        <v>485</v>
      </c>
      <c r="D13" s="1"/>
      <c r="E13" s="48">
        <v>15764.11</v>
      </c>
      <c r="F13" s="48"/>
      <c r="G13" s="48">
        <v>0</v>
      </c>
      <c r="H13" s="48"/>
      <c r="I13" s="48">
        <v>0</v>
      </c>
      <c r="J13" s="48"/>
      <c r="K13" s="48">
        <v>0</v>
      </c>
      <c r="L13" s="48"/>
      <c r="M13" s="48">
        <v>0</v>
      </c>
      <c r="N13" s="48"/>
      <c r="O13" s="48">
        <v>0</v>
      </c>
      <c r="P13" s="48"/>
      <c r="Q13" s="48">
        <v>47002.6</v>
      </c>
      <c r="R13" s="48"/>
      <c r="S13" s="48">
        <v>0</v>
      </c>
      <c r="T13" s="48"/>
      <c r="U13" s="48">
        <v>0</v>
      </c>
      <c r="V13" s="48"/>
      <c r="W13" s="48">
        <v>0</v>
      </c>
      <c r="X13" s="48"/>
      <c r="Y13" s="48">
        <v>0</v>
      </c>
      <c r="Z13" s="48"/>
      <c r="AA13" s="48">
        <v>0</v>
      </c>
      <c r="AB13" s="48"/>
      <c r="AC13" s="48">
        <v>0</v>
      </c>
      <c r="AD13" s="48"/>
      <c r="AE13" s="48">
        <f t="shared" si="3"/>
        <v>62766.71</v>
      </c>
      <c r="AF13" s="1"/>
      <c r="AG13" s="55">
        <v>-8068.84</v>
      </c>
      <c r="AH13" s="55"/>
      <c r="AI13" s="55">
        <v>27504.46</v>
      </c>
      <c r="AJ13" s="55"/>
      <c r="AK13" s="55">
        <v>19435.62</v>
      </c>
      <c r="AL13" s="8">
        <f>+'Gen Rev'!AI13-'Gen Exp'!AE13+'Gen Exp'!AI13-AK13</f>
        <v>0</v>
      </c>
      <c r="AM13" s="21" t="str">
        <f>'Gen Rev'!A13</f>
        <v>Adelphi</v>
      </c>
      <c r="AN13" s="67" t="str">
        <f t="shared" si="1"/>
        <v>Adelphi</v>
      </c>
      <c r="AO13" s="67" t="b">
        <f t="shared" si="2"/>
        <v>1</v>
      </c>
    </row>
    <row r="14" spans="1:41" s="67" customFormat="1" ht="12" customHeight="1" x14ac:dyDescent="0.2">
      <c r="A14" s="1" t="s">
        <v>759</v>
      </c>
      <c r="B14" s="1"/>
      <c r="C14" s="1" t="s">
        <v>390</v>
      </c>
      <c r="D14" s="7"/>
      <c r="E14" s="48">
        <v>69115</v>
      </c>
      <c r="F14" s="48"/>
      <c r="G14" s="48">
        <v>0</v>
      </c>
      <c r="H14" s="48"/>
      <c r="I14" s="48">
        <v>0</v>
      </c>
      <c r="J14" s="48"/>
      <c r="K14" s="48">
        <v>0</v>
      </c>
      <c r="L14" s="48"/>
      <c r="M14" s="48">
        <v>16018</v>
      </c>
      <c r="N14" s="48"/>
      <c r="O14" s="48">
        <v>0</v>
      </c>
      <c r="P14" s="48"/>
      <c r="Q14" s="48">
        <v>0</v>
      </c>
      <c r="R14" s="48"/>
      <c r="S14" s="48">
        <v>0</v>
      </c>
      <c r="T14" s="48"/>
      <c r="U14" s="48">
        <v>0</v>
      </c>
      <c r="V14" s="48"/>
      <c r="W14" s="48">
        <v>0</v>
      </c>
      <c r="X14" s="48"/>
      <c r="Y14" s="48">
        <v>6600</v>
      </c>
      <c r="Z14" s="48"/>
      <c r="AA14" s="48">
        <v>0</v>
      </c>
      <c r="AB14" s="48"/>
      <c r="AC14" s="48">
        <v>0</v>
      </c>
      <c r="AD14" s="48"/>
      <c r="AE14" s="48">
        <f t="shared" si="3"/>
        <v>91733</v>
      </c>
      <c r="AF14" s="48"/>
      <c r="AG14" s="59"/>
      <c r="AH14" s="59"/>
      <c r="AI14" s="59"/>
      <c r="AJ14" s="59"/>
      <c r="AK14" s="59"/>
      <c r="AL14" s="8">
        <f>+'Gen Rev'!AI14-'Gen Exp'!AE14+'Gen Exp'!AI14-AK14</f>
        <v>-8102</v>
      </c>
      <c r="AM14" s="21" t="str">
        <f>'Gen Rev'!A14</f>
        <v>Adena</v>
      </c>
      <c r="AN14" s="67" t="str">
        <f t="shared" si="1"/>
        <v>Adena</v>
      </c>
      <c r="AO14" s="67" t="b">
        <f t="shared" si="2"/>
        <v>1</v>
      </c>
    </row>
    <row r="15" spans="1:41" s="67" customFormat="1" ht="12" customHeight="1" x14ac:dyDescent="0.2">
      <c r="A15" s="1" t="s">
        <v>252</v>
      </c>
      <c r="B15" s="1"/>
      <c r="C15" s="1" t="s">
        <v>253</v>
      </c>
      <c r="D15" s="1"/>
      <c r="E15" s="48">
        <v>11928.35</v>
      </c>
      <c r="F15" s="48"/>
      <c r="G15" s="48">
        <v>0</v>
      </c>
      <c r="H15" s="48"/>
      <c r="I15" s="48">
        <v>0</v>
      </c>
      <c r="J15" s="48"/>
      <c r="K15" s="48">
        <v>0</v>
      </c>
      <c r="L15" s="48"/>
      <c r="M15" s="48">
        <v>0</v>
      </c>
      <c r="N15" s="48"/>
      <c r="O15" s="48">
        <v>0</v>
      </c>
      <c r="P15" s="48"/>
      <c r="Q15" s="48">
        <v>74768.850000000006</v>
      </c>
      <c r="R15" s="48"/>
      <c r="S15" s="48">
        <v>0</v>
      </c>
      <c r="T15" s="48"/>
      <c r="U15" s="48">
        <v>0</v>
      </c>
      <c r="V15" s="48"/>
      <c r="W15" s="48">
        <v>0</v>
      </c>
      <c r="X15" s="48"/>
      <c r="Y15" s="48">
        <v>0</v>
      </c>
      <c r="Z15" s="48"/>
      <c r="AA15" s="48">
        <v>0</v>
      </c>
      <c r="AB15" s="48"/>
      <c r="AC15" s="48">
        <v>0</v>
      </c>
      <c r="AD15" s="48"/>
      <c r="AE15" s="48">
        <f t="shared" si="3"/>
        <v>86697.200000000012</v>
      </c>
      <c r="AF15" s="1"/>
      <c r="AG15" s="55">
        <v>-8785.36</v>
      </c>
      <c r="AH15" s="55"/>
      <c r="AI15" s="55">
        <v>104113.15</v>
      </c>
      <c r="AJ15" s="55"/>
      <c r="AK15" s="55">
        <v>95327.79</v>
      </c>
      <c r="AL15" s="8">
        <f>+'Gen Rev'!AI15-'Gen Exp'!AE15+'Gen Exp'!AI15-AK15</f>
        <v>0</v>
      </c>
      <c r="AM15" s="21" t="str">
        <f>'Gen Rev'!A15</f>
        <v>Albany</v>
      </c>
      <c r="AN15" s="67" t="str">
        <f t="shared" si="1"/>
        <v>Albany</v>
      </c>
      <c r="AO15" s="67" t="b">
        <f t="shared" si="2"/>
        <v>1</v>
      </c>
    </row>
    <row r="16" spans="1:41" s="67" customFormat="1" ht="12" customHeight="1" x14ac:dyDescent="0.2">
      <c r="A16" s="1" t="s">
        <v>121</v>
      </c>
      <c r="B16" s="1"/>
      <c r="C16" s="1" t="s">
        <v>408</v>
      </c>
      <c r="D16" s="1"/>
      <c r="E16" s="48">
        <v>9423.1299999999992</v>
      </c>
      <c r="F16" s="48"/>
      <c r="G16" s="48">
        <v>0</v>
      </c>
      <c r="H16" s="48"/>
      <c r="I16" s="48">
        <v>0</v>
      </c>
      <c r="J16" s="48"/>
      <c r="K16" s="48">
        <v>1258.8</v>
      </c>
      <c r="L16" s="48"/>
      <c r="M16" s="48">
        <v>0</v>
      </c>
      <c r="N16" s="48"/>
      <c r="O16" s="48">
        <v>0</v>
      </c>
      <c r="P16" s="48"/>
      <c r="Q16" s="48">
        <v>53130.7</v>
      </c>
      <c r="R16" s="48"/>
      <c r="S16" s="48">
        <v>742</v>
      </c>
      <c r="T16" s="48"/>
      <c r="U16" s="48">
        <v>4278.72</v>
      </c>
      <c r="V16" s="48"/>
      <c r="W16" s="48">
        <v>2173.7199999999998</v>
      </c>
      <c r="X16" s="48"/>
      <c r="Y16" s="48">
        <v>0</v>
      </c>
      <c r="Z16" s="48"/>
      <c r="AA16" s="48">
        <v>0</v>
      </c>
      <c r="AB16" s="48"/>
      <c r="AC16" s="48">
        <v>0</v>
      </c>
      <c r="AD16" s="48"/>
      <c r="AE16" s="48">
        <f t="shared" si="3"/>
        <v>71007.069999999992</v>
      </c>
      <c r="AF16" s="1"/>
      <c r="AG16" s="55">
        <v>9974.5400000000009</v>
      </c>
      <c r="AH16" s="55"/>
      <c r="AI16" s="55">
        <v>17326.93</v>
      </c>
      <c r="AJ16" s="55"/>
      <c r="AK16" s="55">
        <v>27301.47</v>
      </c>
      <c r="AL16" s="8">
        <f>+'Gen Rev'!AI16-'Gen Exp'!AE16+'Gen Exp'!AI16-AK16</f>
        <v>0</v>
      </c>
      <c r="AM16" s="21" t="str">
        <f>'Gen Rev'!A16</f>
        <v>Alexandria</v>
      </c>
      <c r="AN16" s="67" t="str">
        <f t="shared" si="1"/>
        <v>Alexandria</v>
      </c>
      <c r="AO16" s="67" t="b">
        <f t="shared" si="2"/>
        <v>1</v>
      </c>
    </row>
    <row r="17" spans="1:41" ht="12" customHeight="1" x14ac:dyDescent="0.2">
      <c r="A17" s="1" t="s">
        <v>652</v>
      </c>
      <c r="C17" s="1" t="s">
        <v>366</v>
      </c>
      <c r="E17" s="48">
        <v>0</v>
      </c>
      <c r="F17" s="48"/>
      <c r="G17" s="48">
        <v>2584</v>
      </c>
      <c r="H17" s="48"/>
      <c r="I17" s="48">
        <v>3343.32</v>
      </c>
      <c r="J17" s="48"/>
      <c r="K17" s="48">
        <v>0</v>
      </c>
      <c r="L17" s="48"/>
      <c r="M17" s="48">
        <v>0</v>
      </c>
      <c r="N17" s="48"/>
      <c r="O17" s="48">
        <v>0</v>
      </c>
      <c r="P17" s="48"/>
      <c r="Q17" s="48">
        <v>86355.95</v>
      </c>
      <c r="R17" s="48"/>
      <c r="S17" s="48">
        <v>0</v>
      </c>
      <c r="T17" s="48"/>
      <c r="U17" s="48">
        <v>0</v>
      </c>
      <c r="V17" s="48"/>
      <c r="W17" s="48">
        <v>0</v>
      </c>
      <c r="X17" s="48"/>
      <c r="Y17" s="48">
        <v>0</v>
      </c>
      <c r="Z17" s="48"/>
      <c r="AA17" s="48">
        <v>0</v>
      </c>
      <c r="AB17" s="48"/>
      <c r="AC17" s="48">
        <v>0</v>
      </c>
      <c r="AD17" s="48"/>
      <c r="AE17" s="48">
        <f t="shared" si="3"/>
        <v>92283.26999999999</v>
      </c>
      <c r="AG17" s="55">
        <v>-1750.14</v>
      </c>
      <c r="AI17" s="55">
        <v>85794.39</v>
      </c>
      <c r="AK17" s="55">
        <v>84044.25</v>
      </c>
      <c r="AL17" s="8">
        <f>+'Gen Rev'!AI17-'Gen Exp'!AE17+'Gen Exp'!AI17-AK17</f>
        <v>0</v>
      </c>
      <c r="AM17" s="21" t="str">
        <f>'Gen Rev'!A17</f>
        <v>Alger</v>
      </c>
      <c r="AN17" s="67" t="str">
        <f t="shared" si="1"/>
        <v>Alger</v>
      </c>
      <c r="AO17" s="67" t="b">
        <f t="shared" si="2"/>
        <v>1</v>
      </c>
    </row>
    <row r="18" spans="1:41" ht="12" customHeight="1" x14ac:dyDescent="0.2">
      <c r="A18" s="1" t="s">
        <v>618</v>
      </c>
      <c r="C18" s="1" t="s">
        <v>327</v>
      </c>
      <c r="E18" s="48">
        <v>10842.42</v>
      </c>
      <c r="F18" s="48"/>
      <c r="G18" s="48">
        <v>0</v>
      </c>
      <c r="H18" s="48"/>
      <c r="I18" s="48">
        <v>2058.4899999999998</v>
      </c>
      <c r="J18" s="48"/>
      <c r="K18" s="48">
        <v>0</v>
      </c>
      <c r="L18" s="48"/>
      <c r="M18" s="48">
        <v>50442.11</v>
      </c>
      <c r="N18" s="48"/>
      <c r="O18" s="48">
        <v>0</v>
      </c>
      <c r="P18" s="48"/>
      <c r="Q18" s="48">
        <v>61852.03</v>
      </c>
      <c r="R18" s="48"/>
      <c r="S18" s="48">
        <v>0</v>
      </c>
      <c r="T18" s="48"/>
      <c r="U18" s="48">
        <v>0</v>
      </c>
      <c r="V18" s="48"/>
      <c r="W18" s="48">
        <v>0</v>
      </c>
      <c r="X18" s="48"/>
      <c r="Y18" s="48">
        <v>0</v>
      </c>
      <c r="Z18" s="48"/>
      <c r="AA18" s="48">
        <v>0</v>
      </c>
      <c r="AB18" s="48"/>
      <c r="AC18" s="48">
        <v>0</v>
      </c>
      <c r="AD18" s="48"/>
      <c r="AE18" s="48">
        <f t="shared" si="3"/>
        <v>125195.05</v>
      </c>
      <c r="AG18" s="55">
        <v>-7752.5</v>
      </c>
      <c r="AI18" s="55">
        <v>42326.86</v>
      </c>
      <c r="AK18" s="55">
        <v>34574.36</v>
      </c>
      <c r="AL18" s="8">
        <f>+'Gen Rev'!AI18-'Gen Exp'!AE18+'Gen Exp'!AI18-AK18</f>
        <v>0</v>
      </c>
      <c r="AM18" s="21" t="str">
        <f>'Gen Rev'!A18</f>
        <v>Amanda</v>
      </c>
      <c r="AN18" s="67" t="str">
        <f t="shared" si="1"/>
        <v>Amanda</v>
      </c>
      <c r="AO18" s="67" t="b">
        <f t="shared" si="2"/>
        <v>1</v>
      </c>
    </row>
    <row r="19" spans="1:41" ht="12" customHeight="1" x14ac:dyDescent="0.2">
      <c r="A19" s="1" t="s">
        <v>350</v>
      </c>
      <c r="C19" s="1" t="s">
        <v>351</v>
      </c>
      <c r="E19" s="48">
        <v>1140392.31</v>
      </c>
      <c r="F19" s="48"/>
      <c r="G19" s="48">
        <v>140091.18</v>
      </c>
      <c r="H19" s="48"/>
      <c r="I19" s="48">
        <v>0</v>
      </c>
      <c r="J19" s="48"/>
      <c r="K19" s="48">
        <v>0</v>
      </c>
      <c r="L19" s="48"/>
      <c r="M19" s="48">
        <v>193518.93</v>
      </c>
      <c r="N19" s="48"/>
      <c r="O19" s="48">
        <v>762310.41</v>
      </c>
      <c r="P19" s="48"/>
      <c r="Q19" s="48">
        <v>1175583.23</v>
      </c>
      <c r="R19" s="48"/>
      <c r="S19" s="48">
        <v>0</v>
      </c>
      <c r="T19" s="48"/>
      <c r="U19" s="48">
        <v>0</v>
      </c>
      <c r="V19" s="48"/>
      <c r="W19" s="48">
        <v>0</v>
      </c>
      <c r="X19" s="48"/>
      <c r="Y19" s="48">
        <v>499460</v>
      </c>
      <c r="Z19" s="48"/>
      <c r="AA19" s="48">
        <v>0</v>
      </c>
      <c r="AB19" s="48"/>
      <c r="AC19" s="48">
        <v>3512.5</v>
      </c>
      <c r="AD19" s="48"/>
      <c r="AE19" s="48">
        <f t="shared" si="3"/>
        <v>3914868.56</v>
      </c>
      <c r="AG19" s="55">
        <v>936903.76</v>
      </c>
      <c r="AI19" s="55">
        <v>2039624.67</v>
      </c>
      <c r="AK19" s="55">
        <v>2976528.43</v>
      </c>
      <c r="AL19" s="8">
        <f>+'Gen Rev'!AI19-'Gen Exp'!AE19+'Gen Exp'!AI19-AK19</f>
        <v>0</v>
      </c>
      <c r="AM19" s="21" t="str">
        <f>'Gen Rev'!A19</f>
        <v>Amberley</v>
      </c>
      <c r="AN19" s="67" t="str">
        <f t="shared" si="1"/>
        <v>Amberley</v>
      </c>
      <c r="AO19" s="67" t="b">
        <f t="shared" si="2"/>
        <v>1</v>
      </c>
    </row>
    <row r="20" spans="1:41" s="67" customFormat="1" ht="12" customHeight="1" x14ac:dyDescent="0.2">
      <c r="A20" s="1" t="s">
        <v>35</v>
      </c>
      <c r="B20" s="1"/>
      <c r="C20" s="1" t="s">
        <v>277</v>
      </c>
      <c r="D20" s="1"/>
      <c r="E20" s="48">
        <v>31059.599999999999</v>
      </c>
      <c r="F20" s="48"/>
      <c r="G20" s="48">
        <v>13552.1</v>
      </c>
      <c r="H20" s="48"/>
      <c r="I20" s="48">
        <v>18282.45</v>
      </c>
      <c r="J20" s="48"/>
      <c r="K20" s="48">
        <v>14643.65</v>
      </c>
      <c r="L20" s="48"/>
      <c r="M20" s="48">
        <v>0</v>
      </c>
      <c r="N20" s="48"/>
      <c r="O20" s="48">
        <v>0</v>
      </c>
      <c r="P20" s="48"/>
      <c r="Q20" s="48">
        <v>229179.68</v>
      </c>
      <c r="R20" s="48"/>
      <c r="S20" s="48">
        <v>69388.23</v>
      </c>
      <c r="T20" s="48"/>
      <c r="U20" s="48">
        <v>0</v>
      </c>
      <c r="V20" s="48"/>
      <c r="W20" s="48">
        <v>0</v>
      </c>
      <c r="X20" s="48"/>
      <c r="Y20" s="48">
        <v>0</v>
      </c>
      <c r="Z20" s="48"/>
      <c r="AA20" s="48">
        <v>15000</v>
      </c>
      <c r="AB20" s="48"/>
      <c r="AC20" s="48">
        <v>0</v>
      </c>
      <c r="AD20" s="48"/>
      <c r="AE20" s="48">
        <f t="shared" si="3"/>
        <v>391105.70999999996</v>
      </c>
      <c r="AF20" s="1"/>
      <c r="AG20" s="55">
        <v>-27202.03</v>
      </c>
      <c r="AH20" s="55"/>
      <c r="AI20" s="55">
        <v>161380.67000000001</v>
      </c>
      <c r="AJ20" s="55"/>
      <c r="AK20" s="55">
        <v>134178.64000000001</v>
      </c>
      <c r="AL20" s="8">
        <f>+'Gen Rev'!AI20-'Gen Exp'!AE20+'Gen Exp'!AI20-AK20</f>
        <v>0</v>
      </c>
      <c r="AM20" s="21" t="str">
        <f>'Gen Rev'!A20</f>
        <v>Amelia</v>
      </c>
      <c r="AN20" s="67" t="str">
        <f t="shared" si="1"/>
        <v>Amelia</v>
      </c>
      <c r="AO20" s="67" t="b">
        <f t="shared" si="2"/>
        <v>1</v>
      </c>
    </row>
    <row r="21" spans="1:41" s="67" customFormat="1" ht="12" customHeight="1" x14ac:dyDescent="0.2">
      <c r="A21" s="1" t="s">
        <v>9</v>
      </c>
      <c r="B21" s="1"/>
      <c r="C21" s="1" t="s">
        <v>253</v>
      </c>
      <c r="D21" s="1"/>
      <c r="E21" s="48">
        <v>5143.5</v>
      </c>
      <c r="F21" s="48"/>
      <c r="G21" s="48">
        <v>45</v>
      </c>
      <c r="H21" s="48"/>
      <c r="I21" s="48">
        <v>0</v>
      </c>
      <c r="J21" s="48"/>
      <c r="K21" s="48">
        <v>0</v>
      </c>
      <c r="L21" s="48"/>
      <c r="M21" s="48">
        <v>0</v>
      </c>
      <c r="N21" s="48"/>
      <c r="O21" s="48">
        <v>0</v>
      </c>
      <c r="P21" s="48"/>
      <c r="Q21" s="48">
        <v>23788.95</v>
      </c>
      <c r="R21" s="48"/>
      <c r="S21" s="48">
        <v>0</v>
      </c>
      <c r="T21" s="48"/>
      <c r="U21" s="48">
        <v>0</v>
      </c>
      <c r="V21" s="48"/>
      <c r="W21" s="48">
        <v>0</v>
      </c>
      <c r="X21" s="48"/>
      <c r="Y21" s="48">
        <v>14000</v>
      </c>
      <c r="Z21" s="48"/>
      <c r="AA21" s="48">
        <v>0</v>
      </c>
      <c r="AB21" s="48"/>
      <c r="AC21" s="48">
        <v>0</v>
      </c>
      <c r="AD21" s="48"/>
      <c r="AE21" s="48">
        <f t="shared" si="3"/>
        <v>42977.45</v>
      </c>
      <c r="AF21" s="1"/>
      <c r="AG21" s="55">
        <v>-6766.22</v>
      </c>
      <c r="AH21" s="55"/>
      <c r="AI21" s="55">
        <v>28329</v>
      </c>
      <c r="AJ21" s="55"/>
      <c r="AK21" s="55">
        <v>21562.78</v>
      </c>
      <c r="AL21" s="8">
        <f>+'Gen Rev'!AI21-'Gen Exp'!AE21+'Gen Exp'!AI21-AK21</f>
        <v>0</v>
      </c>
      <c r="AM21" s="21" t="str">
        <f>'Gen Rev'!A21</f>
        <v>Amesville</v>
      </c>
      <c r="AN21" s="67" t="str">
        <f t="shared" si="1"/>
        <v>Amesville</v>
      </c>
      <c r="AO21" s="67" t="b">
        <f t="shared" si="2"/>
        <v>1</v>
      </c>
    </row>
    <row r="22" spans="1:41" s="67" customFormat="1" ht="12" customHeight="1" x14ac:dyDescent="0.2">
      <c r="A22" s="1" t="s">
        <v>391</v>
      </c>
      <c r="B22" s="1"/>
      <c r="C22" s="1" t="s">
        <v>390</v>
      </c>
      <c r="D22" s="1"/>
      <c r="E22" s="48">
        <v>18235</v>
      </c>
      <c r="F22" s="48"/>
      <c r="G22" s="48">
        <v>587</v>
      </c>
      <c r="H22" s="48"/>
      <c r="I22" s="48">
        <v>0</v>
      </c>
      <c r="J22" s="48"/>
      <c r="K22" s="48">
        <v>0</v>
      </c>
      <c r="L22" s="48"/>
      <c r="M22" s="48">
        <v>0</v>
      </c>
      <c r="N22" s="48"/>
      <c r="O22" s="48">
        <v>0</v>
      </c>
      <c r="P22" s="48"/>
      <c r="Q22" s="48">
        <v>26676</v>
      </c>
      <c r="R22" s="48"/>
      <c r="S22" s="48">
        <v>0</v>
      </c>
      <c r="T22" s="48"/>
      <c r="U22" s="48">
        <v>0</v>
      </c>
      <c r="V22" s="48"/>
      <c r="W22" s="48">
        <v>0</v>
      </c>
      <c r="X22" s="48"/>
      <c r="Y22" s="48">
        <v>500</v>
      </c>
      <c r="Z22" s="48"/>
      <c r="AA22" s="48">
        <v>0</v>
      </c>
      <c r="AB22" s="48"/>
      <c r="AC22" s="48">
        <v>744</v>
      </c>
      <c r="AD22" s="48"/>
      <c r="AE22" s="48">
        <f t="shared" si="3"/>
        <v>46742</v>
      </c>
      <c r="AF22" s="48"/>
      <c r="AG22" s="59"/>
      <c r="AH22" s="59"/>
      <c r="AI22" s="59"/>
      <c r="AJ22" s="59"/>
      <c r="AK22" s="59"/>
      <c r="AL22" s="8">
        <f>+'Gen Rev'!AI22-'Gen Exp'!AE22+'Gen Exp'!AI22-AK22</f>
        <v>-5557</v>
      </c>
      <c r="AM22" s="21" t="str">
        <f>'Gen Rev'!A22</f>
        <v>Amsterdam</v>
      </c>
      <c r="AN22" s="67" t="str">
        <f t="shared" si="1"/>
        <v>Amsterdam</v>
      </c>
      <c r="AO22" s="67" t="b">
        <f t="shared" si="2"/>
        <v>1</v>
      </c>
    </row>
    <row r="23" spans="1:41" s="67" customFormat="1" ht="12" customHeight="1" x14ac:dyDescent="0.2">
      <c r="A23" s="1" t="s">
        <v>793</v>
      </c>
      <c r="B23" s="1"/>
      <c r="C23" s="1" t="s">
        <v>624</v>
      </c>
      <c r="D23" s="1"/>
      <c r="E23" s="48">
        <v>242705.95</v>
      </c>
      <c r="F23" s="48"/>
      <c r="G23" s="48">
        <v>9889.5400000000009</v>
      </c>
      <c r="H23" s="48"/>
      <c r="I23" s="48">
        <v>12652.52</v>
      </c>
      <c r="J23" s="48"/>
      <c r="K23" s="48">
        <v>6065.11</v>
      </c>
      <c r="L23" s="48"/>
      <c r="M23" s="48">
        <v>1365.35</v>
      </c>
      <c r="N23" s="48"/>
      <c r="O23" s="48">
        <v>0</v>
      </c>
      <c r="P23" s="48"/>
      <c r="Q23" s="48">
        <v>189287.09</v>
      </c>
      <c r="R23" s="48"/>
      <c r="S23" s="48">
        <v>0</v>
      </c>
      <c r="T23" s="48"/>
      <c r="U23" s="48">
        <v>0</v>
      </c>
      <c r="V23" s="48"/>
      <c r="W23" s="48">
        <v>0</v>
      </c>
      <c r="X23" s="48"/>
      <c r="Y23" s="48">
        <v>692.72</v>
      </c>
      <c r="Z23" s="48"/>
      <c r="AA23" s="48">
        <v>0</v>
      </c>
      <c r="AB23" s="48"/>
      <c r="AC23" s="48">
        <v>0</v>
      </c>
      <c r="AD23" s="48"/>
      <c r="AE23" s="48">
        <f t="shared" si="3"/>
        <v>462658.27999999991</v>
      </c>
      <c r="AF23" s="1"/>
      <c r="AG23" s="55">
        <v>75602.2</v>
      </c>
      <c r="AH23" s="55"/>
      <c r="AI23" s="55">
        <v>11038.51</v>
      </c>
      <c r="AJ23" s="55"/>
      <c r="AK23" s="55">
        <v>86640.71</v>
      </c>
      <c r="AL23" s="8">
        <f>+'Gen Rev'!AI23-'Gen Exp'!AE23+'Gen Exp'!AI23-AK23</f>
        <v>0</v>
      </c>
      <c r="AM23" s="21" t="str">
        <f>'Gen Rev'!A23</f>
        <v>Andover</v>
      </c>
      <c r="AN23" s="67" t="str">
        <f t="shared" si="1"/>
        <v>Andover</v>
      </c>
      <c r="AO23" s="67" t="b">
        <f t="shared" si="2"/>
        <v>1</v>
      </c>
    </row>
    <row r="24" spans="1:41" ht="12" customHeight="1" x14ac:dyDescent="0.2">
      <c r="A24" s="1" t="s">
        <v>206</v>
      </c>
      <c r="C24" s="1" t="s">
        <v>498</v>
      </c>
      <c r="E24" s="48">
        <v>145337.59</v>
      </c>
      <c r="F24" s="48"/>
      <c r="G24" s="48">
        <v>5121</v>
      </c>
      <c r="H24" s="48"/>
      <c r="I24" s="48">
        <v>1200</v>
      </c>
      <c r="J24" s="48"/>
      <c r="K24" s="48">
        <v>0</v>
      </c>
      <c r="L24" s="48"/>
      <c r="M24" s="48">
        <v>0</v>
      </c>
      <c r="N24" s="48"/>
      <c r="O24" s="48">
        <v>95658.4</v>
      </c>
      <c r="P24" s="48"/>
      <c r="Q24" s="48">
        <v>138173.29999999999</v>
      </c>
      <c r="R24" s="48"/>
      <c r="S24" s="48">
        <v>0</v>
      </c>
      <c r="T24" s="48"/>
      <c r="U24" s="48">
        <v>0</v>
      </c>
      <c r="V24" s="48"/>
      <c r="W24" s="48">
        <v>0</v>
      </c>
      <c r="X24" s="48"/>
      <c r="Y24" s="48">
        <v>360521.4</v>
      </c>
      <c r="Z24" s="48"/>
      <c r="AA24" s="48">
        <v>12500</v>
      </c>
      <c r="AB24" s="48"/>
      <c r="AC24" s="48">
        <v>0</v>
      </c>
      <c r="AD24" s="48"/>
      <c r="AE24" s="48">
        <f t="shared" si="3"/>
        <v>758511.69</v>
      </c>
      <c r="AG24" s="55">
        <v>-31560.73</v>
      </c>
      <c r="AI24" s="55">
        <v>126768.86</v>
      </c>
      <c r="AK24" s="55">
        <v>95208.13</v>
      </c>
      <c r="AL24" s="8">
        <f>+'Gen Rev'!AI24-'Gen Exp'!AE24+'Gen Exp'!AI24-AK24</f>
        <v>1.3096723705530167E-10</v>
      </c>
      <c r="AM24" s="21" t="str">
        <f>'Gen Rev'!A24</f>
        <v>Anna</v>
      </c>
      <c r="AN24" s="67" t="str">
        <f t="shared" si="1"/>
        <v>Anna</v>
      </c>
      <c r="AO24" s="67" t="b">
        <f t="shared" si="2"/>
        <v>1</v>
      </c>
    </row>
    <row r="25" spans="1:41" ht="12" customHeight="1" x14ac:dyDescent="0.2">
      <c r="A25" s="1" t="s">
        <v>305</v>
      </c>
      <c r="C25" s="1" t="s">
        <v>306</v>
      </c>
      <c r="E25" s="48">
        <v>129983</v>
      </c>
      <c r="F25" s="48"/>
      <c r="G25" s="48">
        <v>8579</v>
      </c>
      <c r="H25" s="48"/>
      <c r="I25" s="48">
        <v>14732</v>
      </c>
      <c r="J25" s="48"/>
      <c r="K25" s="48">
        <v>0</v>
      </c>
      <c r="L25" s="48"/>
      <c r="M25" s="48">
        <v>0</v>
      </c>
      <c r="N25" s="48"/>
      <c r="O25" s="48">
        <v>0</v>
      </c>
      <c r="P25" s="48"/>
      <c r="Q25" s="48">
        <v>129265</v>
      </c>
      <c r="R25" s="48"/>
      <c r="S25" s="48">
        <v>562</v>
      </c>
      <c r="T25" s="48"/>
      <c r="U25" s="48">
        <v>0</v>
      </c>
      <c r="V25" s="48"/>
      <c r="W25" s="48">
        <v>0</v>
      </c>
      <c r="X25" s="48"/>
      <c r="Y25" s="48">
        <v>49048</v>
      </c>
      <c r="Z25" s="48"/>
      <c r="AA25" s="48">
        <v>0</v>
      </c>
      <c r="AB25" s="48"/>
      <c r="AC25" s="48">
        <v>0</v>
      </c>
      <c r="AD25" s="48"/>
      <c r="AE25" s="48">
        <f t="shared" si="3"/>
        <v>332169</v>
      </c>
      <c r="AF25" s="48"/>
      <c r="AG25" s="59"/>
      <c r="AH25" s="59"/>
      <c r="AI25" s="59"/>
      <c r="AJ25" s="59"/>
      <c r="AK25" s="59"/>
      <c r="AL25" s="8">
        <f>+'Gen Rev'!AI25-'Gen Exp'!AE25+'Gen Exp'!AI25-AK25</f>
        <v>-35151</v>
      </c>
      <c r="AM25" s="21" t="str">
        <f>'Gen Rev'!A25</f>
        <v>Ansonia</v>
      </c>
      <c r="AN25" s="67" t="str">
        <f t="shared" si="1"/>
        <v>Ansonia</v>
      </c>
      <c r="AO25" s="67" t="b">
        <f t="shared" si="2"/>
        <v>1</v>
      </c>
    </row>
    <row r="26" spans="1:41" s="67" customFormat="1" ht="12" customHeight="1" x14ac:dyDescent="0.2">
      <c r="A26" s="1" t="s">
        <v>440</v>
      </c>
      <c r="B26" s="1"/>
      <c r="C26" s="1" t="s">
        <v>441</v>
      </c>
      <c r="D26" s="1"/>
      <c r="E26" s="48">
        <v>1997</v>
      </c>
      <c r="F26" s="48"/>
      <c r="G26" s="48">
        <v>778</v>
      </c>
      <c r="H26" s="48"/>
      <c r="I26" s="48">
        <v>10</v>
      </c>
      <c r="J26" s="48"/>
      <c r="K26" s="48">
        <v>0</v>
      </c>
      <c r="L26" s="48"/>
      <c r="M26" s="48">
        <v>0</v>
      </c>
      <c r="N26" s="48"/>
      <c r="O26" s="48">
        <v>0</v>
      </c>
      <c r="P26" s="48"/>
      <c r="Q26" s="48">
        <v>4364</v>
      </c>
      <c r="R26" s="48"/>
      <c r="S26" s="48">
        <v>0</v>
      </c>
      <c r="T26" s="48"/>
      <c r="U26" s="48">
        <v>0</v>
      </c>
      <c r="V26" s="48"/>
      <c r="W26" s="48">
        <v>0</v>
      </c>
      <c r="X26" s="48"/>
      <c r="Y26" s="48">
        <v>0</v>
      </c>
      <c r="Z26" s="48"/>
      <c r="AA26" s="48">
        <v>0</v>
      </c>
      <c r="AB26" s="48"/>
      <c r="AC26" s="48">
        <v>0</v>
      </c>
      <c r="AD26" s="48"/>
      <c r="AE26" s="48">
        <f t="shared" si="3"/>
        <v>7149</v>
      </c>
      <c r="AF26" s="48"/>
      <c r="AG26" s="59"/>
      <c r="AH26" s="59"/>
      <c r="AI26" s="59"/>
      <c r="AJ26" s="59"/>
      <c r="AK26" s="59"/>
      <c r="AL26" s="8">
        <f>+'Gen Rev'!AI26-'Gen Exp'!AE26+'Gen Exp'!AI26-AK26</f>
        <v>1106</v>
      </c>
      <c r="AM26" s="21" t="str">
        <f>'Gen Rev'!A26</f>
        <v>Antioch</v>
      </c>
      <c r="AN26" s="67" t="str">
        <f t="shared" si="1"/>
        <v>Antioch</v>
      </c>
      <c r="AO26" s="67" t="b">
        <f t="shared" si="2"/>
        <v>1</v>
      </c>
    </row>
    <row r="27" spans="1:41" s="67" customFormat="1" ht="12" customHeight="1" x14ac:dyDescent="0.2">
      <c r="A27" s="1" t="s">
        <v>459</v>
      </c>
      <c r="B27" s="1"/>
      <c r="C27" s="1" t="s">
        <v>460</v>
      </c>
      <c r="D27" s="1"/>
      <c r="E27" s="48">
        <v>119</v>
      </c>
      <c r="F27" s="48"/>
      <c r="G27" s="48">
        <v>0</v>
      </c>
      <c r="H27" s="48"/>
      <c r="I27" s="48">
        <v>34212</v>
      </c>
      <c r="J27" s="48"/>
      <c r="K27" s="48">
        <v>1220</v>
      </c>
      <c r="L27" s="48"/>
      <c r="M27" s="48">
        <v>0</v>
      </c>
      <c r="N27" s="48"/>
      <c r="O27" s="48">
        <v>0</v>
      </c>
      <c r="P27" s="48"/>
      <c r="Q27" s="48">
        <v>197585</v>
      </c>
      <c r="R27" s="48"/>
      <c r="S27" s="48">
        <v>49651</v>
      </c>
      <c r="T27" s="48"/>
      <c r="U27" s="48">
        <v>0</v>
      </c>
      <c r="V27" s="48"/>
      <c r="W27" s="48">
        <v>0</v>
      </c>
      <c r="X27" s="48"/>
      <c r="Y27" s="48">
        <v>183000</v>
      </c>
      <c r="Z27" s="48"/>
      <c r="AA27" s="48">
        <v>4239</v>
      </c>
      <c r="AB27" s="48"/>
      <c r="AC27" s="48">
        <v>0</v>
      </c>
      <c r="AD27" s="48"/>
      <c r="AE27" s="48">
        <f t="shared" si="3"/>
        <v>470026</v>
      </c>
      <c r="AF27" s="48"/>
      <c r="AG27" s="59"/>
      <c r="AH27" s="59"/>
      <c r="AI27" s="59"/>
      <c r="AJ27" s="59"/>
      <c r="AK27" s="59"/>
      <c r="AL27" s="8">
        <f>+'Gen Rev'!AI27-'Gen Exp'!AE27+'Gen Exp'!AI27-AK27</f>
        <v>-27230</v>
      </c>
      <c r="AM27" s="21" t="str">
        <f>'Gen Rev'!A27</f>
        <v>Antwerp</v>
      </c>
      <c r="AN27" s="67" t="str">
        <f t="shared" si="1"/>
        <v>Antwerp</v>
      </c>
      <c r="AO27" s="67" t="b">
        <f t="shared" si="2"/>
        <v>1</v>
      </c>
    </row>
    <row r="28" spans="1:41" s="67" customFormat="1" ht="12" customHeight="1" x14ac:dyDescent="0.2">
      <c r="A28" s="1" t="s">
        <v>546</v>
      </c>
      <c r="B28" s="1"/>
      <c r="C28" s="1" t="s">
        <v>547</v>
      </c>
      <c r="D28" s="1"/>
      <c r="E28" s="48">
        <v>183299</v>
      </c>
      <c r="F28" s="48"/>
      <c r="G28" s="48">
        <v>0</v>
      </c>
      <c r="H28" s="48"/>
      <c r="I28" s="48">
        <v>0</v>
      </c>
      <c r="J28" s="48"/>
      <c r="K28" s="48">
        <v>0</v>
      </c>
      <c r="L28" s="48"/>
      <c r="M28" s="48">
        <v>0</v>
      </c>
      <c r="N28" s="48"/>
      <c r="O28" s="48">
        <v>0</v>
      </c>
      <c r="P28" s="48"/>
      <c r="Q28" s="48">
        <v>72718</v>
      </c>
      <c r="R28" s="48"/>
      <c r="S28" s="48">
        <v>33352</v>
      </c>
      <c r="T28" s="48"/>
      <c r="U28" s="48">
        <v>0</v>
      </c>
      <c r="V28" s="48"/>
      <c r="W28" s="48">
        <v>0</v>
      </c>
      <c r="X28" s="48"/>
      <c r="Y28" s="48">
        <v>86872</v>
      </c>
      <c r="Z28" s="48"/>
      <c r="AA28" s="48">
        <v>0</v>
      </c>
      <c r="AB28" s="48"/>
      <c r="AC28" s="48">
        <v>763</v>
      </c>
      <c r="AD28" s="48"/>
      <c r="AE28" s="48">
        <f t="shared" si="3"/>
        <v>377004</v>
      </c>
      <c r="AF28" s="48"/>
      <c r="AG28" s="59"/>
      <c r="AH28" s="59"/>
      <c r="AI28" s="59"/>
      <c r="AJ28" s="59"/>
      <c r="AK28" s="59"/>
      <c r="AL28" s="8">
        <f>+'Gen Rev'!AI28-'Gen Exp'!AE28+'Gen Exp'!AI28-AK28</f>
        <v>-31769</v>
      </c>
      <c r="AM28" s="21" t="str">
        <f>'Gen Rev'!A28</f>
        <v>Apple Creek</v>
      </c>
      <c r="AN28" s="67" t="str">
        <f t="shared" si="1"/>
        <v>Apple Creek</v>
      </c>
      <c r="AO28" s="67" t="b">
        <f t="shared" si="2"/>
        <v>1</v>
      </c>
    </row>
    <row r="29" spans="1:41" s="67" customFormat="1" ht="12" customHeight="1" x14ac:dyDescent="0.2">
      <c r="A29" s="1" t="s">
        <v>653</v>
      </c>
      <c r="B29" s="1"/>
      <c r="C29" s="1" t="s">
        <v>342</v>
      </c>
      <c r="D29" s="1"/>
      <c r="E29" s="48">
        <v>0</v>
      </c>
      <c r="F29" s="48"/>
      <c r="G29" s="48">
        <v>0</v>
      </c>
      <c r="H29" s="48"/>
      <c r="I29" s="48">
        <v>2061.61</v>
      </c>
      <c r="J29" s="48"/>
      <c r="K29" s="48">
        <v>0</v>
      </c>
      <c r="L29" s="48"/>
      <c r="M29" s="48">
        <v>1167.02</v>
      </c>
      <c r="N29" s="48"/>
      <c r="O29" s="48">
        <v>0</v>
      </c>
      <c r="P29" s="48"/>
      <c r="Q29" s="48">
        <v>35480.019999999997</v>
      </c>
      <c r="R29" s="48"/>
      <c r="S29" s="48">
        <v>0</v>
      </c>
      <c r="T29" s="48"/>
      <c r="U29" s="48">
        <v>0</v>
      </c>
      <c r="V29" s="48"/>
      <c r="W29" s="48">
        <v>0</v>
      </c>
      <c r="X29" s="48"/>
      <c r="Y29" s="48">
        <v>0</v>
      </c>
      <c r="Z29" s="48"/>
      <c r="AA29" s="48">
        <v>0</v>
      </c>
      <c r="AB29" s="48"/>
      <c r="AC29" s="48">
        <v>0</v>
      </c>
      <c r="AD29" s="48"/>
      <c r="AE29" s="48">
        <f t="shared" si="3"/>
        <v>38708.649999999994</v>
      </c>
      <c r="AF29" s="1"/>
      <c r="AG29" s="55">
        <v>-8810.89</v>
      </c>
      <c r="AH29" s="55"/>
      <c r="AI29" s="55">
        <v>48646.59</v>
      </c>
      <c r="AJ29" s="55"/>
      <c r="AK29" s="55">
        <v>39835.699999999997</v>
      </c>
      <c r="AL29" s="8">
        <f>+'Gen Rev'!AI29-'Gen Exp'!AE29+'Gen Exp'!AI29-AK29</f>
        <v>0</v>
      </c>
      <c r="AM29" s="21" t="str">
        <f>'Gen Rev'!A29</f>
        <v>Aquilla</v>
      </c>
      <c r="AN29" s="67" t="str">
        <f t="shared" si="1"/>
        <v>Aquilla</v>
      </c>
      <c r="AO29" s="67" t="b">
        <f t="shared" si="2"/>
        <v>1</v>
      </c>
    </row>
    <row r="30" spans="1:41" s="67" customFormat="1" ht="12" customHeight="1" x14ac:dyDescent="0.2">
      <c r="A30" s="1" t="s">
        <v>359</v>
      </c>
      <c r="B30" s="1"/>
      <c r="C30" s="1" t="s">
        <v>360</v>
      </c>
      <c r="D30" s="1"/>
      <c r="E30" s="48">
        <v>0</v>
      </c>
      <c r="F30" s="48"/>
      <c r="G30" s="48">
        <v>2787.93</v>
      </c>
      <c r="H30" s="48"/>
      <c r="I30" s="48">
        <v>1740.15</v>
      </c>
      <c r="J30" s="48"/>
      <c r="K30" s="48">
        <v>5360.22</v>
      </c>
      <c r="L30" s="48"/>
      <c r="M30" s="48">
        <v>0</v>
      </c>
      <c r="N30" s="48"/>
      <c r="O30" s="48">
        <v>0</v>
      </c>
      <c r="P30" s="48"/>
      <c r="Q30" s="48">
        <v>121507.32</v>
      </c>
      <c r="R30" s="48"/>
      <c r="S30" s="48">
        <v>36821.5</v>
      </c>
      <c r="T30" s="48"/>
      <c r="U30" s="48">
        <v>0</v>
      </c>
      <c r="V30" s="48"/>
      <c r="W30" s="48">
        <v>0</v>
      </c>
      <c r="X30" s="48"/>
      <c r="Y30" s="48">
        <v>0</v>
      </c>
      <c r="Z30" s="48"/>
      <c r="AA30" s="48">
        <v>0</v>
      </c>
      <c r="AB30" s="48"/>
      <c r="AC30" s="48">
        <v>0</v>
      </c>
      <c r="AD30" s="48"/>
      <c r="AE30" s="48">
        <f t="shared" si="3"/>
        <v>168217.12</v>
      </c>
      <c r="AF30" s="1"/>
      <c r="AG30" s="55">
        <v>-98884.12</v>
      </c>
      <c r="AH30" s="55"/>
      <c r="AI30" s="55">
        <v>205173.16</v>
      </c>
      <c r="AJ30" s="55"/>
      <c r="AK30" s="55">
        <v>106289.04</v>
      </c>
      <c r="AL30" s="8">
        <f>+'Gen Rev'!AI30-'Gen Exp'!AE30+'Gen Exp'!AI30-AK30</f>
        <v>0</v>
      </c>
      <c r="AM30" s="21" t="str">
        <f>'Gen Rev'!A30</f>
        <v>Arcadia</v>
      </c>
      <c r="AN30" s="67" t="str">
        <f t="shared" si="1"/>
        <v>Arcadia</v>
      </c>
      <c r="AO30" s="67" t="b">
        <f t="shared" si="2"/>
        <v>1</v>
      </c>
    </row>
    <row r="31" spans="1:41" ht="12" customHeight="1" x14ac:dyDescent="0.2">
      <c r="A31" s="1" t="s">
        <v>307</v>
      </c>
      <c r="C31" s="1" t="s">
        <v>306</v>
      </c>
      <c r="E31" s="48">
        <v>274460</v>
      </c>
      <c r="F31" s="48"/>
      <c r="G31" s="48">
        <v>9882</v>
      </c>
      <c r="H31" s="48"/>
      <c r="I31" s="48">
        <v>3209</v>
      </c>
      <c r="J31" s="48"/>
      <c r="K31" s="48">
        <v>75107</v>
      </c>
      <c r="L31" s="48"/>
      <c r="M31" s="48">
        <v>0</v>
      </c>
      <c r="N31" s="48"/>
      <c r="O31" s="48">
        <v>0</v>
      </c>
      <c r="P31" s="48"/>
      <c r="Q31" s="48">
        <v>150088</v>
      </c>
      <c r="R31" s="48"/>
      <c r="S31" s="48">
        <v>78277</v>
      </c>
      <c r="T31" s="48"/>
      <c r="U31" s="48">
        <v>11321</v>
      </c>
      <c r="V31" s="48"/>
      <c r="W31" s="48">
        <v>0</v>
      </c>
      <c r="X31" s="48"/>
      <c r="Y31" s="48">
        <v>190285</v>
      </c>
      <c r="Z31" s="48"/>
      <c r="AA31" s="48">
        <v>0</v>
      </c>
      <c r="AB31" s="48"/>
      <c r="AC31" s="48">
        <v>0</v>
      </c>
      <c r="AD31" s="48"/>
      <c r="AE31" s="48">
        <f t="shared" si="3"/>
        <v>792629</v>
      </c>
      <c r="AF31" s="48"/>
      <c r="AG31" s="59"/>
      <c r="AH31" s="59"/>
      <c r="AI31" s="59"/>
      <c r="AJ31" s="59"/>
      <c r="AK31" s="59"/>
      <c r="AL31" s="8">
        <f>+'Gen Rev'!AI31-'Gen Exp'!AE31+'Gen Exp'!AI31-AK31</f>
        <v>-18373</v>
      </c>
      <c r="AM31" s="21" t="str">
        <f>'Gen Rev'!A31</f>
        <v>Arcanum</v>
      </c>
      <c r="AN31" s="67" t="str">
        <f t="shared" si="1"/>
        <v>Arcanum</v>
      </c>
      <c r="AO31" s="67" t="b">
        <f t="shared" si="2"/>
        <v>1</v>
      </c>
    </row>
    <row r="32" spans="1:41" ht="12" customHeight="1" x14ac:dyDescent="0.2">
      <c r="A32" s="1" t="s">
        <v>331</v>
      </c>
      <c r="C32" s="1" t="s">
        <v>332</v>
      </c>
      <c r="E32" s="48">
        <v>1413853</v>
      </c>
      <c r="F32" s="48"/>
      <c r="G32" s="48">
        <v>23494</v>
      </c>
      <c r="H32" s="48"/>
      <c r="I32" s="48">
        <v>0</v>
      </c>
      <c r="J32" s="48"/>
      <c r="K32" s="48">
        <v>21352</v>
      </c>
      <c r="L32" s="48"/>
      <c r="M32" s="48">
        <v>306184</v>
      </c>
      <c r="N32" s="48"/>
      <c r="O32" s="48">
        <v>0</v>
      </c>
      <c r="P32" s="48"/>
      <c r="Q32" s="48">
        <v>694461</v>
      </c>
      <c r="R32" s="48"/>
      <c r="S32" s="48">
        <v>0</v>
      </c>
      <c r="T32" s="48"/>
      <c r="U32" s="48">
        <v>0</v>
      </c>
      <c r="V32" s="48"/>
      <c r="W32" s="48">
        <v>0</v>
      </c>
      <c r="X32" s="48"/>
      <c r="Y32" s="48">
        <v>2975000</v>
      </c>
      <c r="Z32" s="48"/>
      <c r="AA32" s="48">
        <v>0</v>
      </c>
      <c r="AB32" s="48"/>
      <c r="AC32" s="48">
        <v>14002</v>
      </c>
      <c r="AD32" s="48"/>
      <c r="AE32" s="48">
        <f>SUM(E32:AC32)</f>
        <v>5448346</v>
      </c>
      <c r="AF32" s="48"/>
      <c r="AG32" s="59"/>
      <c r="AH32" s="59"/>
      <c r="AI32" s="59"/>
      <c r="AJ32" s="59"/>
      <c r="AK32" s="59"/>
      <c r="AL32" s="8">
        <f>+'Gen Rev'!AI32-'Gen Exp'!AE32+'Gen Exp'!AI32-AK32</f>
        <v>-445616</v>
      </c>
      <c r="AM32" s="21" t="str">
        <f>'Gen Rev'!A32</f>
        <v>Archbold</v>
      </c>
      <c r="AN32" s="67" t="str">
        <f t="shared" si="1"/>
        <v>Archbold</v>
      </c>
      <c r="AO32" s="67" t="b">
        <f t="shared" si="2"/>
        <v>1</v>
      </c>
    </row>
    <row r="33" spans="1:41" s="67" customFormat="1" ht="12" customHeight="1" x14ac:dyDescent="0.2">
      <c r="A33" s="1" t="s">
        <v>93</v>
      </c>
      <c r="B33" s="1"/>
      <c r="C33" s="1" t="s">
        <v>360</v>
      </c>
      <c r="D33" s="1"/>
      <c r="E33" s="48">
        <v>28469.78</v>
      </c>
      <c r="F33" s="48"/>
      <c r="G33" s="48">
        <v>8099.42</v>
      </c>
      <c r="H33" s="48"/>
      <c r="I33" s="48">
        <v>0</v>
      </c>
      <c r="J33" s="48"/>
      <c r="K33" s="48">
        <v>0</v>
      </c>
      <c r="L33" s="48"/>
      <c r="M33" s="48">
        <v>0</v>
      </c>
      <c r="N33" s="48"/>
      <c r="O33" s="48">
        <v>6154.33</v>
      </c>
      <c r="P33" s="48"/>
      <c r="Q33" s="48">
        <v>125501.48</v>
      </c>
      <c r="R33" s="48"/>
      <c r="S33" s="48">
        <v>23520</v>
      </c>
      <c r="T33" s="48"/>
      <c r="U33" s="48">
        <v>0</v>
      </c>
      <c r="V33" s="48"/>
      <c r="W33" s="48">
        <v>0</v>
      </c>
      <c r="X33" s="48"/>
      <c r="Y33" s="48">
        <v>97000</v>
      </c>
      <c r="Z33" s="48"/>
      <c r="AA33" s="48">
        <v>8056.8</v>
      </c>
      <c r="AB33" s="48"/>
      <c r="AC33" s="48">
        <v>10421.33</v>
      </c>
      <c r="AD33" s="48"/>
      <c r="AE33" s="48">
        <f t="shared" si="3"/>
        <v>307223.14</v>
      </c>
      <c r="AF33" s="1"/>
      <c r="AG33" s="55">
        <v>41250.400000000001</v>
      </c>
      <c r="AH33" s="55"/>
      <c r="AI33" s="55">
        <v>153579.31</v>
      </c>
      <c r="AJ33" s="55"/>
      <c r="AK33" s="55">
        <v>194829.71</v>
      </c>
      <c r="AL33" s="8">
        <f>+'Gen Rev'!AI33-'Gen Exp'!AE33+'Gen Exp'!AI33-AK33</f>
        <v>0</v>
      </c>
      <c r="AM33" s="21" t="str">
        <f>'Gen Rev'!A33</f>
        <v>Arlington</v>
      </c>
      <c r="AN33" s="67" t="str">
        <f t="shared" si="1"/>
        <v>Arlington</v>
      </c>
      <c r="AO33" s="67" t="b">
        <f t="shared" si="2"/>
        <v>1</v>
      </c>
    </row>
    <row r="34" spans="1:41" ht="12" customHeight="1" x14ac:dyDescent="0.2">
      <c r="A34" s="1" t="s">
        <v>352</v>
      </c>
      <c r="C34" s="1" t="s">
        <v>351</v>
      </c>
      <c r="E34" s="48">
        <v>371864</v>
      </c>
      <c r="F34" s="48"/>
      <c r="G34" s="48">
        <v>0</v>
      </c>
      <c r="H34" s="48"/>
      <c r="I34" s="48">
        <v>3618</v>
      </c>
      <c r="J34" s="48"/>
      <c r="K34" s="48">
        <v>0</v>
      </c>
      <c r="L34" s="48"/>
      <c r="M34" s="48">
        <v>0</v>
      </c>
      <c r="N34" s="48"/>
      <c r="O34" s="48">
        <v>0</v>
      </c>
      <c r="P34" s="48"/>
      <c r="Q34" s="48">
        <v>435847</v>
      </c>
      <c r="R34" s="48"/>
      <c r="S34" s="48">
        <v>0</v>
      </c>
      <c r="T34" s="48"/>
      <c r="U34" s="48">
        <v>22160</v>
      </c>
      <c r="V34" s="48"/>
      <c r="W34" s="48">
        <v>0</v>
      </c>
      <c r="X34" s="48"/>
      <c r="Y34" s="48">
        <v>0</v>
      </c>
      <c r="Z34" s="48"/>
      <c r="AA34" s="48">
        <v>0</v>
      </c>
      <c r="AB34" s="48"/>
      <c r="AC34" s="48">
        <v>0</v>
      </c>
      <c r="AD34" s="48"/>
      <c r="AE34" s="48">
        <f t="shared" si="3"/>
        <v>833489</v>
      </c>
      <c r="AF34" s="48"/>
      <c r="AG34" s="59"/>
      <c r="AH34" s="59"/>
      <c r="AI34" s="59"/>
      <c r="AJ34" s="59"/>
      <c r="AK34" s="59"/>
      <c r="AL34" s="8">
        <f>+'Gen Rev'!AI34-'Gen Exp'!AE34+'Gen Exp'!AI34-AK34</f>
        <v>18075</v>
      </c>
      <c r="AM34" s="21" t="str">
        <f>'Gen Rev'!A34</f>
        <v>Arlington Heights</v>
      </c>
      <c r="AN34" s="67" t="str">
        <f t="shared" si="1"/>
        <v>Arlington Heights</v>
      </c>
      <c r="AO34" s="67" t="b">
        <f t="shared" si="2"/>
        <v>1</v>
      </c>
    </row>
    <row r="35" spans="1:41" s="67" customFormat="1" ht="12" customHeight="1" x14ac:dyDescent="0.2">
      <c r="A35" s="1" t="s">
        <v>792</v>
      </c>
      <c r="B35" s="1"/>
      <c r="C35" s="1" t="s">
        <v>320</v>
      </c>
      <c r="D35" s="1"/>
      <c r="E35" s="48">
        <v>0</v>
      </c>
      <c r="F35" s="48"/>
      <c r="G35" s="48">
        <v>0</v>
      </c>
      <c r="H35" s="48"/>
      <c r="I35" s="48">
        <v>0</v>
      </c>
      <c r="J35" s="48"/>
      <c r="K35" s="48">
        <v>0</v>
      </c>
      <c r="L35" s="48"/>
      <c r="M35" s="48">
        <v>72651.600000000006</v>
      </c>
      <c r="N35" s="48"/>
      <c r="O35" s="48">
        <v>0</v>
      </c>
      <c r="P35" s="48"/>
      <c r="Q35" s="48">
        <v>102456.57</v>
      </c>
      <c r="R35" s="48"/>
      <c r="S35" s="48">
        <v>0</v>
      </c>
      <c r="T35" s="48"/>
      <c r="U35" s="48">
        <v>0</v>
      </c>
      <c r="V35" s="48"/>
      <c r="W35" s="48">
        <v>0</v>
      </c>
      <c r="X35" s="48"/>
      <c r="Y35" s="48">
        <v>65000</v>
      </c>
      <c r="Z35" s="48"/>
      <c r="AA35" s="48">
        <v>0</v>
      </c>
      <c r="AB35" s="48"/>
      <c r="AC35" s="48">
        <v>0</v>
      </c>
      <c r="AD35" s="48"/>
      <c r="AE35" s="48">
        <f t="shared" si="3"/>
        <v>240108.17</v>
      </c>
      <c r="AF35" s="1"/>
      <c r="AG35" s="55">
        <v>-15633.68</v>
      </c>
      <c r="AH35" s="55"/>
      <c r="AI35" s="55">
        <v>79757.23</v>
      </c>
      <c r="AJ35" s="55"/>
      <c r="AK35" s="55">
        <v>64123.55</v>
      </c>
      <c r="AL35" s="8">
        <f>+'Gen Rev'!AI35-'Gen Exp'!AE35+'Gen Exp'!AI35-AK35</f>
        <v>0</v>
      </c>
      <c r="AM35" s="21" t="str">
        <f>'Gen Rev'!A35</f>
        <v>Ashley</v>
      </c>
      <c r="AN35" s="67" t="str">
        <f t="shared" si="1"/>
        <v>Ashley</v>
      </c>
      <c r="AO35" s="67" t="b">
        <f t="shared" si="2"/>
        <v>1</v>
      </c>
    </row>
    <row r="36" spans="1:41" s="6" customFormat="1" ht="12" customHeight="1" x14ac:dyDescent="0.2">
      <c r="A36" s="1" t="s">
        <v>719</v>
      </c>
      <c r="B36" s="1"/>
      <c r="C36" s="1" t="s">
        <v>467</v>
      </c>
      <c r="E36" s="49">
        <v>713724.27</v>
      </c>
      <c r="F36" s="49"/>
      <c r="G36" s="49">
        <v>8996.6200000000008</v>
      </c>
      <c r="H36" s="49"/>
      <c r="I36" s="49">
        <v>33184.480000000003</v>
      </c>
      <c r="J36" s="49"/>
      <c r="K36" s="49">
        <v>33444.870000000003</v>
      </c>
      <c r="L36" s="49"/>
      <c r="M36" s="49">
        <v>330775.12</v>
      </c>
      <c r="N36" s="49"/>
      <c r="O36" s="49">
        <v>152334.96</v>
      </c>
      <c r="P36" s="49"/>
      <c r="Q36" s="49">
        <v>334075.59000000003</v>
      </c>
      <c r="R36" s="49"/>
      <c r="S36" s="49">
        <v>0</v>
      </c>
      <c r="T36" s="49"/>
      <c r="U36" s="49">
        <v>24979</v>
      </c>
      <c r="V36" s="49"/>
      <c r="W36" s="49">
        <v>2316</v>
      </c>
      <c r="X36" s="49"/>
      <c r="Y36" s="49">
        <v>0</v>
      </c>
      <c r="Z36" s="49"/>
      <c r="AA36" s="49">
        <v>0</v>
      </c>
      <c r="AB36" s="49"/>
      <c r="AC36" s="49">
        <v>0</v>
      </c>
      <c r="AD36" s="49"/>
      <c r="AE36" s="49">
        <f t="shared" si="3"/>
        <v>1633830.91</v>
      </c>
      <c r="AG36" s="55">
        <v>43628.5</v>
      </c>
      <c r="AH36" s="55"/>
      <c r="AI36" s="55">
        <v>542475.92000000004</v>
      </c>
      <c r="AJ36" s="55"/>
      <c r="AK36" s="55">
        <v>586104.42000000004</v>
      </c>
      <c r="AL36" s="8">
        <f>+'Gen Rev'!AI36-'Gen Exp'!AE36+'Gen Exp'!AI36-AK36</f>
        <v>0</v>
      </c>
      <c r="AM36" s="21" t="str">
        <f>'Gen Rev'!A36</f>
        <v>Ashville</v>
      </c>
      <c r="AN36" s="67" t="str">
        <f t="shared" si="1"/>
        <v>Ashville</v>
      </c>
      <c r="AO36" s="67" t="b">
        <f t="shared" si="2"/>
        <v>1</v>
      </c>
    </row>
    <row r="37" spans="1:41" s="14" customFormat="1" ht="12" customHeight="1" x14ac:dyDescent="0.2">
      <c r="A37" s="1" t="s">
        <v>760</v>
      </c>
      <c r="B37" s="1"/>
      <c r="C37" s="1" t="s">
        <v>406</v>
      </c>
      <c r="D37" s="11"/>
      <c r="E37" s="49">
        <v>0</v>
      </c>
      <c r="F37" s="49"/>
      <c r="G37" s="49"/>
      <c r="H37" s="49"/>
      <c r="I37" s="49">
        <v>0</v>
      </c>
      <c r="J37" s="49"/>
      <c r="K37" s="49">
        <v>0</v>
      </c>
      <c r="L37" s="49"/>
      <c r="M37" s="49">
        <v>0</v>
      </c>
      <c r="N37" s="49"/>
      <c r="O37" s="49">
        <v>0</v>
      </c>
      <c r="P37" s="49"/>
      <c r="Q37" s="49">
        <v>14616</v>
      </c>
      <c r="R37" s="49"/>
      <c r="S37" s="49">
        <v>0</v>
      </c>
      <c r="T37" s="49"/>
      <c r="U37" s="49">
        <v>0</v>
      </c>
      <c r="V37" s="49"/>
      <c r="W37" s="49">
        <v>0</v>
      </c>
      <c r="X37" s="49"/>
      <c r="Y37" s="49">
        <v>0</v>
      </c>
      <c r="Z37" s="49"/>
      <c r="AA37" s="49">
        <v>0</v>
      </c>
      <c r="AB37" s="49"/>
      <c r="AC37" s="49">
        <v>0</v>
      </c>
      <c r="AD37" s="49"/>
      <c r="AE37" s="49">
        <f t="shared" si="3"/>
        <v>14616</v>
      </c>
      <c r="AF37" s="49"/>
      <c r="AG37" s="59"/>
      <c r="AH37" s="59"/>
      <c r="AI37" s="59"/>
      <c r="AJ37" s="59"/>
      <c r="AK37" s="59"/>
      <c r="AL37" s="8">
        <f>+'Gen Rev'!AI37-'Gen Exp'!AE37+'Gen Exp'!AI37-AK37</f>
        <v>415</v>
      </c>
      <c r="AM37" s="21" t="str">
        <f>'Gen Rev'!A37</f>
        <v>Athalia</v>
      </c>
      <c r="AN37" s="67" t="str">
        <f t="shared" si="1"/>
        <v>Athalia</v>
      </c>
      <c r="AO37" s="67" t="b">
        <f t="shared" si="2"/>
        <v>1</v>
      </c>
    </row>
    <row r="38" spans="1:41" ht="12" customHeight="1" x14ac:dyDescent="0.2">
      <c r="A38" s="1" t="s">
        <v>203</v>
      </c>
      <c r="C38" s="1" t="s">
        <v>494</v>
      </c>
      <c r="E38" s="48">
        <v>19822.72</v>
      </c>
      <c r="F38" s="48"/>
      <c r="G38" s="48">
        <v>2459</v>
      </c>
      <c r="H38" s="48"/>
      <c r="I38" s="48">
        <v>0</v>
      </c>
      <c r="J38" s="48"/>
      <c r="K38" s="48">
        <v>0</v>
      </c>
      <c r="L38" s="48"/>
      <c r="M38" s="48">
        <v>0</v>
      </c>
      <c r="N38" s="48"/>
      <c r="O38" s="48">
        <v>0</v>
      </c>
      <c r="P38" s="48"/>
      <c r="Q38" s="48">
        <v>58665.83</v>
      </c>
      <c r="R38" s="48"/>
      <c r="S38" s="48">
        <v>1774.99</v>
      </c>
      <c r="T38" s="48"/>
      <c r="U38" s="48">
        <v>4102.79</v>
      </c>
      <c r="V38" s="48"/>
      <c r="W38" s="48">
        <v>3984.45</v>
      </c>
      <c r="X38" s="48"/>
      <c r="Y38" s="48">
        <v>0</v>
      </c>
      <c r="Z38" s="48"/>
      <c r="AA38" s="48">
        <v>0</v>
      </c>
      <c r="AB38" s="48"/>
      <c r="AC38" s="48">
        <v>0</v>
      </c>
      <c r="AD38" s="48"/>
      <c r="AE38" s="48">
        <f t="shared" si="3"/>
        <v>90809.78</v>
      </c>
      <c r="AG38" s="55">
        <v>-15228.2</v>
      </c>
      <c r="AI38" s="55">
        <v>124734.13</v>
      </c>
      <c r="AK38" s="55">
        <v>109505.93</v>
      </c>
      <c r="AL38" s="8">
        <f>+'Gen Rev'!AI38-'Gen Exp'!AE38+'Gen Exp'!AI38-AK38</f>
        <v>0</v>
      </c>
      <c r="AM38" s="21" t="str">
        <f>'Gen Rev'!A38</f>
        <v>Attica</v>
      </c>
      <c r="AN38" s="67" t="str">
        <f t="shared" si="1"/>
        <v>Attica</v>
      </c>
      <c r="AO38" s="67" t="b">
        <f t="shared" si="2"/>
        <v>1</v>
      </c>
    </row>
    <row r="39" spans="1:41" ht="12" customHeight="1" x14ac:dyDescent="0.2">
      <c r="A39" s="1" t="s">
        <v>620</v>
      </c>
      <c r="C39" s="1" t="s">
        <v>619</v>
      </c>
      <c r="D39" s="7"/>
      <c r="E39" s="48">
        <v>3934</v>
      </c>
      <c r="F39" s="48"/>
      <c r="G39" s="48">
        <v>149</v>
      </c>
      <c r="H39" s="48"/>
      <c r="I39" s="48">
        <v>3841</v>
      </c>
      <c r="J39" s="48"/>
      <c r="K39" s="48">
        <v>2874</v>
      </c>
      <c r="L39" s="48"/>
      <c r="M39" s="48">
        <v>0</v>
      </c>
      <c r="N39" s="48"/>
      <c r="O39" s="48">
        <v>3905</v>
      </c>
      <c r="P39" s="48"/>
      <c r="Q39" s="48">
        <v>25069</v>
      </c>
      <c r="R39" s="48"/>
      <c r="S39" s="48">
        <v>0</v>
      </c>
      <c r="T39" s="48"/>
      <c r="U39" s="48">
        <v>0</v>
      </c>
      <c r="V39" s="48"/>
      <c r="W39" s="48">
        <v>0</v>
      </c>
      <c r="X39" s="48"/>
      <c r="Y39" s="48">
        <v>0</v>
      </c>
      <c r="Z39" s="48"/>
      <c r="AA39" s="48">
        <v>0</v>
      </c>
      <c r="AB39" s="48"/>
      <c r="AC39" s="48">
        <v>0</v>
      </c>
      <c r="AD39" s="48"/>
      <c r="AE39" s="48">
        <f t="shared" si="3"/>
        <v>39772</v>
      </c>
      <c r="AF39" s="48"/>
      <c r="AG39" s="59"/>
      <c r="AH39" s="59"/>
      <c r="AI39" s="59"/>
      <c r="AJ39" s="59"/>
      <c r="AK39" s="59"/>
      <c r="AL39" s="8">
        <f>+'Gen Rev'!AI39-'Gen Exp'!AE39+'Gen Exp'!AI39-AK39</f>
        <v>-352</v>
      </c>
      <c r="AM39" s="21" t="str">
        <f>'Gen Rev'!A39</f>
        <v>Bailey Lakes</v>
      </c>
      <c r="AN39" s="67" t="str">
        <f t="shared" si="1"/>
        <v>Bailey Lakes</v>
      </c>
      <c r="AO39" s="67" t="b">
        <f t="shared" si="2"/>
        <v>1</v>
      </c>
    </row>
    <row r="40" spans="1:41" ht="12" customHeight="1" x14ac:dyDescent="0.2">
      <c r="A40" s="1" t="s">
        <v>720</v>
      </c>
      <c r="C40" s="1" t="s">
        <v>485</v>
      </c>
      <c r="E40" s="48">
        <v>62037.8</v>
      </c>
      <c r="F40" s="48"/>
      <c r="G40" s="48">
        <v>0</v>
      </c>
      <c r="H40" s="48"/>
      <c r="I40" s="48">
        <v>2079.9299999999998</v>
      </c>
      <c r="J40" s="48"/>
      <c r="K40" s="48">
        <v>0</v>
      </c>
      <c r="L40" s="48"/>
      <c r="M40" s="48">
        <v>0</v>
      </c>
      <c r="N40" s="48"/>
      <c r="O40" s="48">
        <v>0</v>
      </c>
      <c r="P40" s="48"/>
      <c r="Q40" s="48">
        <v>79772.02</v>
      </c>
      <c r="R40" s="48"/>
      <c r="S40" s="48">
        <v>12057.06</v>
      </c>
      <c r="T40" s="48"/>
      <c r="U40" s="48">
        <v>0</v>
      </c>
      <c r="V40" s="48"/>
      <c r="W40" s="48">
        <v>0</v>
      </c>
      <c r="X40" s="48"/>
      <c r="Y40" s="48">
        <v>0</v>
      </c>
      <c r="Z40" s="48"/>
      <c r="AA40" s="48">
        <v>0</v>
      </c>
      <c r="AB40" s="48"/>
      <c r="AC40" s="48">
        <v>0</v>
      </c>
      <c r="AD40" s="48"/>
      <c r="AE40" s="48">
        <f t="shared" si="3"/>
        <v>155946.81</v>
      </c>
      <c r="AG40" s="55">
        <v>-62954.559999999998</v>
      </c>
      <c r="AI40" s="55">
        <v>182023.27</v>
      </c>
      <c r="AK40" s="55">
        <v>119068.71</v>
      </c>
      <c r="AL40" s="8">
        <f>+'Gen Rev'!AI40-'Gen Exp'!AE40+'Gen Exp'!AI40-AK40</f>
        <v>0</v>
      </c>
      <c r="AM40" s="21" t="str">
        <f>'Gen Rev'!A40</f>
        <v>Bainbridge</v>
      </c>
      <c r="AN40" s="67" t="str">
        <f t="shared" si="1"/>
        <v>Bainbridge</v>
      </c>
      <c r="AO40" s="67" t="b">
        <f t="shared" si="2"/>
        <v>1</v>
      </c>
    </row>
    <row r="41" spans="1:41" s="67" customFormat="1" ht="12" customHeight="1" x14ac:dyDescent="0.2">
      <c r="A41" s="1" t="s">
        <v>520</v>
      </c>
      <c r="B41" s="1"/>
      <c r="C41" s="1" t="s">
        <v>521</v>
      </c>
      <c r="D41" s="1"/>
      <c r="E41" s="48">
        <v>27336</v>
      </c>
      <c r="F41" s="48"/>
      <c r="G41" s="48">
        <v>1853</v>
      </c>
      <c r="H41" s="48"/>
      <c r="I41" s="48">
        <v>13926</v>
      </c>
      <c r="J41" s="48"/>
      <c r="K41" s="48">
        <v>1008</v>
      </c>
      <c r="L41" s="48"/>
      <c r="M41" s="48">
        <v>0</v>
      </c>
      <c r="N41" s="48"/>
      <c r="O41" s="48">
        <v>1161</v>
      </c>
      <c r="P41" s="48"/>
      <c r="Q41" s="48">
        <v>108700</v>
      </c>
      <c r="R41" s="48"/>
      <c r="S41" s="48">
        <v>13140</v>
      </c>
      <c r="T41" s="48"/>
      <c r="U41" s="48">
        <v>0</v>
      </c>
      <c r="V41" s="48"/>
      <c r="W41" s="48">
        <v>0</v>
      </c>
      <c r="X41" s="48"/>
      <c r="Y41" s="48">
        <v>0</v>
      </c>
      <c r="Z41" s="48"/>
      <c r="AA41" s="48">
        <v>0</v>
      </c>
      <c r="AB41" s="48"/>
      <c r="AC41" s="48">
        <v>0</v>
      </c>
      <c r="AD41" s="48"/>
      <c r="AE41" s="48">
        <f t="shared" si="3"/>
        <v>167124</v>
      </c>
      <c r="AF41" s="48"/>
      <c r="AG41" s="59"/>
      <c r="AH41" s="59"/>
      <c r="AI41" s="59"/>
      <c r="AJ41" s="59"/>
      <c r="AK41" s="59"/>
      <c r="AL41" s="8">
        <f>+'Gen Rev'!AI41-'Gen Exp'!AE41+'Gen Exp'!AI41-AK41</f>
        <v>89560</v>
      </c>
      <c r="AM41" s="21" t="str">
        <f>'Gen Rev'!A41</f>
        <v>Baltic</v>
      </c>
      <c r="AN41" s="67" t="str">
        <f t="shared" si="1"/>
        <v>Baltic</v>
      </c>
      <c r="AO41" s="67" t="b">
        <f t="shared" si="2"/>
        <v>1</v>
      </c>
    </row>
    <row r="42" spans="1:41" s="67" customFormat="1" ht="12" customHeight="1" x14ac:dyDescent="0.2">
      <c r="A42" s="1" t="s">
        <v>326</v>
      </c>
      <c r="B42" s="1"/>
      <c r="C42" s="1" t="s">
        <v>327</v>
      </c>
      <c r="D42" s="1"/>
      <c r="E42" s="48">
        <v>287124</v>
      </c>
      <c r="F42" s="48"/>
      <c r="G42" s="48">
        <v>19461</v>
      </c>
      <c r="H42" s="48"/>
      <c r="I42" s="48">
        <v>27433</v>
      </c>
      <c r="J42" s="48"/>
      <c r="K42" s="48">
        <v>35863</v>
      </c>
      <c r="L42" s="48"/>
      <c r="M42" s="48">
        <v>5945</v>
      </c>
      <c r="N42" s="48"/>
      <c r="O42" s="48">
        <v>0</v>
      </c>
      <c r="P42" s="48"/>
      <c r="Q42" s="48">
        <v>189095</v>
      </c>
      <c r="R42" s="48"/>
      <c r="S42" s="48">
        <v>38621</v>
      </c>
      <c r="T42" s="48"/>
      <c r="U42" s="48">
        <v>6217</v>
      </c>
      <c r="V42" s="48"/>
      <c r="W42" s="48">
        <v>400</v>
      </c>
      <c r="X42" s="48"/>
      <c r="Y42" s="48">
        <v>0</v>
      </c>
      <c r="Z42" s="48"/>
      <c r="AA42" s="48">
        <v>0</v>
      </c>
      <c r="AB42" s="48"/>
      <c r="AC42" s="48">
        <v>0</v>
      </c>
      <c r="AD42" s="48"/>
      <c r="AE42" s="48">
        <f t="shared" si="3"/>
        <v>610159</v>
      </c>
      <c r="AF42" s="48"/>
      <c r="AG42" s="59"/>
      <c r="AH42" s="59"/>
      <c r="AI42" s="59"/>
      <c r="AJ42" s="59"/>
      <c r="AK42" s="59"/>
      <c r="AL42" s="8">
        <f>+'Gen Rev'!AI42-'Gen Exp'!AE42+'Gen Exp'!AI42-AK42</f>
        <v>16426</v>
      </c>
      <c r="AM42" s="21" t="str">
        <f>'Gen Rev'!A42</f>
        <v>Baltimore</v>
      </c>
      <c r="AN42" s="67" t="str">
        <f t="shared" si="1"/>
        <v>Baltimore</v>
      </c>
      <c r="AO42" s="67" t="b">
        <f t="shared" si="2"/>
        <v>1</v>
      </c>
    </row>
    <row r="43" spans="1:41" ht="12" customHeight="1" x14ac:dyDescent="0.2">
      <c r="A43" s="1" t="s">
        <v>260</v>
      </c>
      <c r="C43" s="1" t="s">
        <v>261</v>
      </c>
      <c r="E43" s="48">
        <v>658306</v>
      </c>
      <c r="F43" s="48"/>
      <c r="G43" s="48">
        <v>14499</v>
      </c>
      <c r="H43" s="48"/>
      <c r="I43" s="48">
        <v>17409</v>
      </c>
      <c r="J43" s="48"/>
      <c r="K43" s="48">
        <v>0</v>
      </c>
      <c r="L43" s="48"/>
      <c r="M43" s="48">
        <v>0</v>
      </c>
      <c r="N43" s="48"/>
      <c r="O43" s="48">
        <v>64477</v>
      </c>
      <c r="P43" s="48"/>
      <c r="Q43" s="48">
        <v>177610</v>
      </c>
      <c r="R43" s="48"/>
      <c r="S43" s="48">
        <v>0</v>
      </c>
      <c r="T43" s="48"/>
      <c r="U43" s="48">
        <v>0</v>
      </c>
      <c r="V43" s="48"/>
      <c r="W43" s="48">
        <v>0</v>
      </c>
      <c r="X43" s="48"/>
      <c r="Y43" s="48">
        <v>0</v>
      </c>
      <c r="Z43" s="48"/>
      <c r="AA43" s="48">
        <v>0</v>
      </c>
      <c r="AB43" s="48"/>
      <c r="AC43" s="48">
        <v>1642743</v>
      </c>
      <c r="AD43" s="48"/>
      <c r="AE43" s="48">
        <f t="shared" si="3"/>
        <v>2575044</v>
      </c>
      <c r="AF43" s="48"/>
      <c r="AG43" s="59"/>
      <c r="AH43" s="59"/>
      <c r="AI43" s="59"/>
      <c r="AJ43" s="59"/>
      <c r="AK43" s="59"/>
      <c r="AL43" s="8">
        <f>+'Gen Rev'!AI43-'Gen Exp'!AE43+'Gen Exp'!AI43-AK43</f>
        <v>-456148</v>
      </c>
      <c r="AM43" s="21" t="str">
        <f>'Gen Rev'!A43</f>
        <v>Barnesville</v>
      </c>
      <c r="AN43" s="67" t="str">
        <f t="shared" si="1"/>
        <v>Barnesville</v>
      </c>
      <c r="AO43" s="67" t="b">
        <f t="shared" si="2"/>
        <v>1</v>
      </c>
    </row>
    <row r="44" spans="1:41" s="67" customFormat="1" ht="12" customHeight="1" x14ac:dyDescent="0.2">
      <c r="A44" s="1" t="s">
        <v>522</v>
      </c>
      <c r="B44" s="1"/>
      <c r="C44" s="1" t="s">
        <v>521</v>
      </c>
      <c r="D44" s="1"/>
      <c r="E44" s="48">
        <v>0</v>
      </c>
      <c r="F44" s="48"/>
      <c r="G44" s="48">
        <v>0</v>
      </c>
      <c r="H44" s="48"/>
      <c r="I44" s="48">
        <v>57.45</v>
      </c>
      <c r="J44" s="48"/>
      <c r="K44" s="48">
        <v>0</v>
      </c>
      <c r="L44" s="48"/>
      <c r="M44" s="48">
        <v>0</v>
      </c>
      <c r="N44" s="48"/>
      <c r="O44" s="48">
        <v>0</v>
      </c>
      <c r="P44" s="48"/>
      <c r="Q44" s="48">
        <v>18933.09</v>
      </c>
      <c r="R44" s="48"/>
      <c r="S44" s="48">
        <v>0</v>
      </c>
      <c r="T44" s="48"/>
      <c r="U44" s="48">
        <v>0</v>
      </c>
      <c r="V44" s="48"/>
      <c r="W44" s="48">
        <v>0</v>
      </c>
      <c r="X44" s="48"/>
      <c r="Y44" s="48">
        <v>0</v>
      </c>
      <c r="Z44" s="48"/>
      <c r="AA44" s="48">
        <v>0</v>
      </c>
      <c r="AB44" s="48"/>
      <c r="AC44" s="48">
        <v>0</v>
      </c>
      <c r="AD44" s="48"/>
      <c r="AE44" s="48">
        <f t="shared" si="3"/>
        <v>18990.54</v>
      </c>
      <c r="AF44" s="1"/>
      <c r="AG44" s="55">
        <v>6066.79</v>
      </c>
      <c r="AH44" s="55"/>
      <c r="AI44" s="55">
        <v>25986.85</v>
      </c>
      <c r="AJ44" s="55"/>
      <c r="AK44" s="55">
        <v>32053.64</v>
      </c>
      <c r="AL44" s="8">
        <f>+'Gen Rev'!AI44-'Gen Exp'!AE44+'Gen Exp'!AI44-AK44</f>
        <v>0</v>
      </c>
      <c r="AM44" s="21" t="str">
        <f>'Gen Rev'!A44</f>
        <v>Barnhill</v>
      </c>
      <c r="AN44" s="67" t="str">
        <f t="shared" si="1"/>
        <v>Barnhill</v>
      </c>
      <c r="AO44" s="67" t="b">
        <f t="shared" si="2"/>
        <v>1</v>
      </c>
    </row>
    <row r="45" spans="1:41" ht="12" customHeight="1" x14ac:dyDescent="0.2">
      <c r="A45" s="1" t="s">
        <v>276</v>
      </c>
      <c r="C45" s="1" t="s">
        <v>277</v>
      </c>
      <c r="E45" s="48">
        <v>400287.99</v>
      </c>
      <c r="F45" s="48"/>
      <c r="G45" s="48">
        <v>6966.29</v>
      </c>
      <c r="H45" s="48"/>
      <c r="I45" s="48">
        <v>0</v>
      </c>
      <c r="J45" s="48"/>
      <c r="K45" s="48">
        <v>0</v>
      </c>
      <c r="L45" s="48"/>
      <c r="M45" s="48">
        <v>0</v>
      </c>
      <c r="N45" s="48"/>
      <c r="O45" s="48">
        <v>0</v>
      </c>
      <c r="P45" s="48"/>
      <c r="Q45" s="48">
        <v>249213.13</v>
      </c>
      <c r="R45" s="48"/>
      <c r="S45" s="48">
        <v>0</v>
      </c>
      <c r="T45" s="48"/>
      <c r="U45" s="48">
        <v>0</v>
      </c>
      <c r="V45" s="48"/>
      <c r="W45" s="48">
        <v>0</v>
      </c>
      <c r="X45" s="48"/>
      <c r="Y45" s="48">
        <v>651601.96</v>
      </c>
      <c r="Z45" s="48"/>
      <c r="AA45" s="48">
        <v>0</v>
      </c>
      <c r="AB45" s="48"/>
      <c r="AC45" s="48">
        <v>0</v>
      </c>
      <c r="AD45" s="48"/>
      <c r="AE45" s="48">
        <f t="shared" si="3"/>
        <v>1308069.3699999999</v>
      </c>
      <c r="AG45" s="55">
        <v>222507.48</v>
      </c>
      <c r="AI45" s="55">
        <v>499429.89</v>
      </c>
      <c r="AK45" s="55">
        <v>721937.37</v>
      </c>
      <c r="AL45" s="8">
        <f>+'Gen Rev'!AI45-'Gen Exp'!AE45+'Gen Exp'!AI45-AK45</f>
        <v>0</v>
      </c>
      <c r="AM45" s="21" t="str">
        <f>'Gen Rev'!A45</f>
        <v>Batavia</v>
      </c>
      <c r="AN45" s="67" t="str">
        <f t="shared" si="1"/>
        <v>Batavia</v>
      </c>
      <c r="AO45" s="67" t="b">
        <f t="shared" si="2"/>
        <v>1</v>
      </c>
    </row>
    <row r="46" spans="1:41" ht="12" customHeight="1" x14ac:dyDescent="0.2">
      <c r="A46" s="1" t="s">
        <v>454</v>
      </c>
      <c r="C46" s="1" t="s">
        <v>455</v>
      </c>
      <c r="E46" s="48">
        <v>400</v>
      </c>
      <c r="F46" s="48"/>
      <c r="G46" s="48">
        <v>0</v>
      </c>
      <c r="H46" s="48"/>
      <c r="I46" s="48">
        <v>651</v>
      </c>
      <c r="J46" s="48"/>
      <c r="K46" s="48">
        <v>0</v>
      </c>
      <c r="L46" s="48"/>
      <c r="M46" s="48">
        <v>0</v>
      </c>
      <c r="N46" s="48"/>
      <c r="O46" s="48">
        <v>0</v>
      </c>
      <c r="P46" s="48"/>
      <c r="Q46" s="48">
        <v>0</v>
      </c>
      <c r="R46" s="48"/>
      <c r="S46" s="48">
        <v>0</v>
      </c>
      <c r="T46" s="48"/>
      <c r="U46" s="48">
        <v>12636</v>
      </c>
      <c r="V46" s="48"/>
      <c r="W46" s="48">
        <v>0</v>
      </c>
      <c r="X46" s="48"/>
      <c r="Y46" s="48">
        <v>0</v>
      </c>
      <c r="Z46" s="48"/>
      <c r="AA46" s="48">
        <v>0</v>
      </c>
      <c r="AB46" s="48"/>
      <c r="AC46" s="48">
        <v>0</v>
      </c>
      <c r="AD46" s="48"/>
      <c r="AE46" s="48">
        <f t="shared" si="3"/>
        <v>13687</v>
      </c>
      <c r="AF46" s="48"/>
      <c r="AG46" s="59"/>
      <c r="AH46" s="59"/>
      <c r="AI46" s="59"/>
      <c r="AJ46" s="59"/>
      <c r="AK46" s="59"/>
      <c r="AL46" s="8">
        <f>+'Gen Rev'!AI46-'Gen Exp'!AE46+'Gen Exp'!AI46-AK46</f>
        <v>2319</v>
      </c>
      <c r="AM46" s="21" t="str">
        <f>'Gen Rev'!A46</f>
        <v>Batesville</v>
      </c>
      <c r="AN46" s="67" t="str">
        <f t="shared" si="1"/>
        <v>Batesville</v>
      </c>
      <c r="AO46" s="67" t="b">
        <f t="shared" si="2"/>
        <v>1</v>
      </c>
    </row>
    <row r="47" spans="1:41" ht="12" customHeight="1" x14ac:dyDescent="0.2">
      <c r="A47" s="1" t="s">
        <v>53</v>
      </c>
      <c r="C47" s="1" t="s">
        <v>325</v>
      </c>
      <c r="E47" s="48">
        <v>59474.29</v>
      </c>
      <c r="F47" s="48"/>
      <c r="G47" s="48">
        <v>0</v>
      </c>
      <c r="H47" s="48"/>
      <c r="I47" s="48">
        <v>2798.07</v>
      </c>
      <c r="J47" s="48"/>
      <c r="K47" s="48">
        <v>0</v>
      </c>
      <c r="L47" s="48"/>
      <c r="M47" s="48">
        <v>700</v>
      </c>
      <c r="N47" s="48"/>
      <c r="O47" s="48">
        <v>1759.07</v>
      </c>
      <c r="P47" s="48"/>
      <c r="Q47" s="48">
        <v>96396.22</v>
      </c>
      <c r="R47" s="48"/>
      <c r="S47" s="48">
        <v>203</v>
      </c>
      <c r="T47" s="48"/>
      <c r="U47" s="48">
        <v>4600</v>
      </c>
      <c r="V47" s="48"/>
      <c r="W47" s="48">
        <v>520</v>
      </c>
      <c r="X47" s="48"/>
      <c r="Y47" s="48">
        <v>0</v>
      </c>
      <c r="Z47" s="48"/>
      <c r="AA47" s="48">
        <v>0</v>
      </c>
      <c r="AB47" s="48"/>
      <c r="AC47" s="48">
        <v>0</v>
      </c>
      <c r="AD47" s="48"/>
      <c r="AE47" s="48">
        <f t="shared" si="3"/>
        <v>166450.65</v>
      </c>
      <c r="AG47" s="55">
        <v>-9051.44</v>
      </c>
      <c r="AI47" s="55">
        <v>25284.79</v>
      </c>
      <c r="AK47" s="55">
        <v>16233.35</v>
      </c>
      <c r="AL47" s="8">
        <f>+'Gen Rev'!AI47-'Gen Exp'!AE47+'Gen Exp'!AI47-AK47</f>
        <v>2.7284841053187847E-11</v>
      </c>
      <c r="AM47" s="21" t="str">
        <f>'Gen Rev'!A47</f>
        <v>Bay View</v>
      </c>
      <c r="AN47" s="67" t="str">
        <f t="shared" si="1"/>
        <v>Bay View</v>
      </c>
      <c r="AO47" s="67" t="b">
        <f t="shared" si="2"/>
        <v>1</v>
      </c>
    </row>
    <row r="48" spans="1:41" s="67" customFormat="1" ht="12" customHeight="1" x14ac:dyDescent="0.2">
      <c r="A48" s="1" t="s">
        <v>501</v>
      </c>
      <c r="B48" s="1"/>
      <c r="C48" s="1" t="s">
        <v>502</v>
      </c>
      <c r="D48" s="1"/>
      <c r="E48" s="48">
        <v>70454</v>
      </c>
      <c r="F48" s="48"/>
      <c r="G48" s="48">
        <v>364</v>
      </c>
      <c r="H48" s="48"/>
      <c r="I48" s="48">
        <v>8144</v>
      </c>
      <c r="J48" s="48"/>
      <c r="K48" s="48">
        <v>103</v>
      </c>
      <c r="L48" s="48"/>
      <c r="M48" s="48">
        <v>0</v>
      </c>
      <c r="N48" s="48"/>
      <c r="O48" s="48">
        <v>11329</v>
      </c>
      <c r="P48" s="48"/>
      <c r="Q48" s="48">
        <v>61188</v>
      </c>
      <c r="R48" s="48"/>
      <c r="S48" s="48">
        <v>8921</v>
      </c>
      <c r="T48" s="48"/>
      <c r="U48" s="48">
        <v>0</v>
      </c>
      <c r="V48" s="48"/>
      <c r="W48" s="48">
        <v>0</v>
      </c>
      <c r="X48" s="48"/>
      <c r="Y48" s="48">
        <v>0</v>
      </c>
      <c r="Z48" s="48"/>
      <c r="AA48" s="48">
        <v>0</v>
      </c>
      <c r="AB48" s="48"/>
      <c r="AC48" s="48">
        <v>3994</v>
      </c>
      <c r="AD48" s="48"/>
      <c r="AE48" s="48">
        <f t="shared" si="3"/>
        <v>164497</v>
      </c>
      <c r="AF48" s="48"/>
      <c r="AG48" s="59"/>
      <c r="AH48" s="59"/>
      <c r="AI48" s="59"/>
      <c r="AJ48" s="59"/>
      <c r="AK48" s="59"/>
      <c r="AL48" s="8">
        <f>+'Gen Rev'!AI48-'Gen Exp'!AE48+'Gen Exp'!AI48-AK48</f>
        <v>13846</v>
      </c>
      <c r="AM48" s="21" t="str">
        <f>'Gen Rev'!A48</f>
        <v>Beach</v>
      </c>
      <c r="AN48" s="67" t="str">
        <f t="shared" si="1"/>
        <v>Beach</v>
      </c>
      <c r="AO48" s="67" t="b">
        <f t="shared" si="2"/>
        <v>1</v>
      </c>
    </row>
    <row r="49" spans="1:41" s="67" customFormat="1" ht="12" customHeight="1" x14ac:dyDescent="0.2">
      <c r="A49" s="1" t="s">
        <v>151</v>
      </c>
      <c r="B49" s="1"/>
      <c r="C49" s="1" t="s">
        <v>441</v>
      </c>
      <c r="D49" s="1"/>
      <c r="E49" s="48">
        <v>4663.08</v>
      </c>
      <c r="F49" s="48"/>
      <c r="G49" s="48">
        <v>3102.67</v>
      </c>
      <c r="H49" s="48"/>
      <c r="I49" s="48">
        <v>0</v>
      </c>
      <c r="J49" s="48"/>
      <c r="K49" s="48">
        <v>0</v>
      </c>
      <c r="L49" s="48"/>
      <c r="M49" s="48">
        <v>100</v>
      </c>
      <c r="N49" s="48"/>
      <c r="O49" s="48">
        <v>695.58</v>
      </c>
      <c r="P49" s="48"/>
      <c r="Q49" s="48">
        <v>25983.82</v>
      </c>
      <c r="R49" s="48"/>
      <c r="S49" s="48">
        <v>0</v>
      </c>
      <c r="T49" s="48"/>
      <c r="U49" s="48">
        <v>0</v>
      </c>
      <c r="V49" s="48"/>
      <c r="W49" s="48">
        <v>0</v>
      </c>
      <c r="X49" s="48"/>
      <c r="Y49" s="48">
        <v>0</v>
      </c>
      <c r="Z49" s="48"/>
      <c r="AA49" s="48">
        <v>0</v>
      </c>
      <c r="AB49" s="48"/>
      <c r="AC49" s="48">
        <v>0</v>
      </c>
      <c r="AD49" s="48"/>
      <c r="AE49" s="48">
        <f t="shared" si="3"/>
        <v>34545.15</v>
      </c>
      <c r="AF49" s="1"/>
      <c r="AG49" s="55">
        <v>-4914.79</v>
      </c>
      <c r="AH49" s="55"/>
      <c r="AI49" s="55">
        <v>37600.89</v>
      </c>
      <c r="AJ49" s="55"/>
      <c r="AK49" s="55">
        <v>32686.1</v>
      </c>
      <c r="AL49" s="8">
        <f>+'Gen Rev'!AI49-'Gen Exp'!AE49+'Gen Exp'!AI49-AK49</f>
        <v>0</v>
      </c>
      <c r="AM49" s="21" t="str">
        <f>'Gen Rev'!A49</f>
        <v>Beallsville</v>
      </c>
      <c r="AN49" s="67" t="str">
        <f t="shared" si="1"/>
        <v>Beallsville</v>
      </c>
      <c r="AO49" s="67" t="b">
        <f t="shared" si="2"/>
        <v>1</v>
      </c>
    </row>
    <row r="50" spans="1:41" s="67" customFormat="1" ht="12" customHeight="1" x14ac:dyDescent="0.2">
      <c r="A50" s="1" t="s">
        <v>178</v>
      </c>
      <c r="B50" s="1"/>
      <c r="C50" s="1" t="s">
        <v>469</v>
      </c>
      <c r="D50" s="1"/>
      <c r="E50" s="48">
        <v>11645.9</v>
      </c>
      <c r="F50" s="48"/>
      <c r="G50" s="48">
        <v>0</v>
      </c>
      <c r="H50" s="48"/>
      <c r="I50" s="48">
        <v>0</v>
      </c>
      <c r="J50" s="48"/>
      <c r="K50" s="48">
        <v>0</v>
      </c>
      <c r="L50" s="48"/>
      <c r="M50" s="48">
        <v>0</v>
      </c>
      <c r="N50" s="48"/>
      <c r="O50" s="48">
        <v>0</v>
      </c>
      <c r="P50" s="48"/>
      <c r="Q50" s="48">
        <v>60585.08</v>
      </c>
      <c r="R50" s="48"/>
      <c r="S50" s="48">
        <v>0</v>
      </c>
      <c r="T50" s="48"/>
      <c r="U50" s="48">
        <v>0</v>
      </c>
      <c r="V50" s="48"/>
      <c r="W50" s="48">
        <v>0</v>
      </c>
      <c r="X50" s="48"/>
      <c r="Y50" s="48">
        <v>2900</v>
      </c>
      <c r="Z50" s="48"/>
      <c r="AA50" s="48">
        <v>0</v>
      </c>
      <c r="AB50" s="48"/>
      <c r="AC50" s="48">
        <v>0</v>
      </c>
      <c r="AD50" s="48"/>
      <c r="AE50" s="48">
        <f t="shared" si="3"/>
        <v>75130.98</v>
      </c>
      <c r="AF50" s="1"/>
      <c r="AG50" s="55">
        <v>-9374.42</v>
      </c>
      <c r="AH50" s="55"/>
      <c r="AI50" s="55">
        <v>37603.08</v>
      </c>
      <c r="AJ50" s="55"/>
      <c r="AK50" s="55">
        <v>28228.66</v>
      </c>
      <c r="AL50" s="8">
        <f>+'Gen Rev'!AI50-'Gen Exp'!AE50+'Gen Exp'!AI50-AK50</f>
        <v>0</v>
      </c>
      <c r="AM50" s="21" t="str">
        <f>'Gen Rev'!A50</f>
        <v>Beaver</v>
      </c>
      <c r="AN50" s="67" t="str">
        <f t="shared" si="1"/>
        <v>Beaver</v>
      </c>
      <c r="AO50" s="67" t="b">
        <f t="shared" si="2"/>
        <v>1</v>
      </c>
    </row>
    <row r="51" spans="1:41" s="67" customFormat="1" ht="12" customHeight="1" x14ac:dyDescent="0.2">
      <c r="A51" s="1" t="s">
        <v>2</v>
      </c>
      <c r="B51" s="1"/>
      <c r="C51" s="1" t="s">
        <v>651</v>
      </c>
      <c r="E51" s="48">
        <v>5989.25</v>
      </c>
      <c r="F51" s="48"/>
      <c r="G51" s="48">
        <v>0</v>
      </c>
      <c r="H51" s="48"/>
      <c r="I51" s="48">
        <v>2353.46</v>
      </c>
      <c r="J51" s="48"/>
      <c r="K51" s="48">
        <v>0</v>
      </c>
      <c r="L51" s="48"/>
      <c r="M51" s="48">
        <v>0</v>
      </c>
      <c r="N51" s="48"/>
      <c r="O51" s="48">
        <v>0</v>
      </c>
      <c r="P51" s="48"/>
      <c r="Q51" s="48">
        <v>63298.58</v>
      </c>
      <c r="R51" s="48"/>
      <c r="S51" s="48">
        <v>168192.37</v>
      </c>
      <c r="T51" s="48"/>
      <c r="U51" s="48">
        <v>0</v>
      </c>
      <c r="V51" s="48"/>
      <c r="W51" s="48">
        <v>0</v>
      </c>
      <c r="X51" s="48"/>
      <c r="Y51" s="48">
        <v>5000</v>
      </c>
      <c r="Z51" s="48"/>
      <c r="AA51" s="48">
        <v>0</v>
      </c>
      <c r="AB51" s="48"/>
      <c r="AC51" s="48">
        <v>100</v>
      </c>
      <c r="AD51" s="48"/>
      <c r="AE51" s="48">
        <f t="shared" ref="AE51:AE90" si="4">SUM(E51:AC51)</f>
        <v>244933.66</v>
      </c>
      <c r="AF51" s="1"/>
      <c r="AG51" s="55">
        <v>32280.91</v>
      </c>
      <c r="AH51" s="55"/>
      <c r="AI51" s="55">
        <v>300884.94</v>
      </c>
      <c r="AJ51" s="55"/>
      <c r="AK51" s="55">
        <v>333165.84999999998</v>
      </c>
      <c r="AL51" s="8">
        <f>+'Gen Rev'!AI51-'Gen Exp'!AE51+'Gen Exp'!AI51-AK51</f>
        <v>0</v>
      </c>
      <c r="AM51" s="21" t="str">
        <f>'Gen Rev'!A51</f>
        <v>Beaverdam</v>
      </c>
      <c r="AN51" s="67" t="str">
        <f t="shared" si="1"/>
        <v>Beaverdam</v>
      </c>
      <c r="AO51" s="67" t="b">
        <f t="shared" si="2"/>
        <v>1</v>
      </c>
    </row>
    <row r="52" spans="1:41" s="67" customFormat="1" ht="12" customHeight="1" x14ac:dyDescent="0.2">
      <c r="A52" s="1" t="s">
        <v>262</v>
      </c>
      <c r="B52" s="1"/>
      <c r="C52" s="1" t="s">
        <v>261</v>
      </c>
      <c r="D52" s="1"/>
      <c r="E52" s="48">
        <v>799904</v>
      </c>
      <c r="F52" s="48"/>
      <c r="G52" s="48">
        <v>0</v>
      </c>
      <c r="H52" s="48"/>
      <c r="I52" s="48">
        <v>0</v>
      </c>
      <c r="J52" s="48"/>
      <c r="K52" s="48">
        <v>0</v>
      </c>
      <c r="L52" s="48"/>
      <c r="M52" s="48">
        <v>0</v>
      </c>
      <c r="N52" s="48"/>
      <c r="O52" s="48">
        <v>0</v>
      </c>
      <c r="P52" s="48"/>
      <c r="Q52" s="48">
        <v>550013</v>
      </c>
      <c r="R52" s="48"/>
      <c r="S52" s="48">
        <v>0</v>
      </c>
      <c r="T52" s="48"/>
      <c r="U52" s="48">
        <v>0</v>
      </c>
      <c r="V52" s="48"/>
      <c r="W52" s="48">
        <v>0</v>
      </c>
      <c r="X52" s="48"/>
      <c r="Y52" s="48">
        <v>0</v>
      </c>
      <c r="Z52" s="48"/>
      <c r="AA52" s="48">
        <v>0</v>
      </c>
      <c r="AB52" s="48"/>
      <c r="AC52" s="48">
        <v>0</v>
      </c>
      <c r="AD52" s="48"/>
      <c r="AE52" s="48">
        <f t="shared" si="4"/>
        <v>1349917</v>
      </c>
      <c r="AF52" s="48"/>
      <c r="AG52" s="59"/>
      <c r="AH52" s="59"/>
      <c r="AI52" s="59"/>
      <c r="AJ52" s="59"/>
      <c r="AK52" s="59"/>
      <c r="AL52" s="8">
        <f>+'Gen Rev'!AI52-'Gen Exp'!AE52+'Gen Exp'!AI52-AK52</f>
        <v>-66035</v>
      </c>
      <c r="AM52" s="21" t="str">
        <f>'Gen Rev'!A52</f>
        <v>Bellaire</v>
      </c>
      <c r="AN52" s="67" t="str">
        <f t="shared" si="1"/>
        <v>Bellaire</v>
      </c>
      <c r="AO52" s="67" t="b">
        <f t="shared" si="2"/>
        <v>1</v>
      </c>
    </row>
    <row r="53" spans="1:41" s="67" customFormat="1" ht="12" customHeight="1" x14ac:dyDescent="0.2">
      <c r="A53" s="1" t="s">
        <v>123</v>
      </c>
      <c r="B53" s="1"/>
      <c r="C53" s="1" t="s">
        <v>414</v>
      </c>
      <c r="D53" s="1"/>
      <c r="E53" s="48">
        <v>17511.84</v>
      </c>
      <c r="F53" s="48"/>
      <c r="G53" s="48">
        <v>4875.17</v>
      </c>
      <c r="H53" s="48"/>
      <c r="I53" s="48">
        <v>1803.12</v>
      </c>
      <c r="J53" s="48"/>
      <c r="K53" s="48">
        <v>40</v>
      </c>
      <c r="L53" s="48"/>
      <c r="M53" s="48">
        <v>2100</v>
      </c>
      <c r="N53" s="48"/>
      <c r="O53" s="48">
        <v>1445.59</v>
      </c>
      <c r="P53" s="48"/>
      <c r="Q53" s="48">
        <v>76442.460000000006</v>
      </c>
      <c r="R53" s="48"/>
      <c r="S53" s="48">
        <v>32315.14</v>
      </c>
      <c r="T53" s="48"/>
      <c r="U53" s="48">
        <v>2400</v>
      </c>
      <c r="V53" s="48"/>
      <c r="W53" s="48">
        <v>325.56</v>
      </c>
      <c r="X53" s="48"/>
      <c r="Y53" s="48">
        <v>11273.92</v>
      </c>
      <c r="Z53" s="48"/>
      <c r="AA53" s="48">
        <v>0</v>
      </c>
      <c r="AB53" s="48"/>
      <c r="AC53" s="48">
        <v>0</v>
      </c>
      <c r="AD53" s="48"/>
      <c r="AE53" s="48">
        <f t="shared" si="4"/>
        <v>150532.80000000002</v>
      </c>
      <c r="AF53" s="1"/>
      <c r="AG53" s="55">
        <v>42253.77</v>
      </c>
      <c r="AH53" s="55"/>
      <c r="AI53" s="55">
        <v>124637.96</v>
      </c>
      <c r="AJ53" s="55"/>
      <c r="AK53" s="55">
        <v>166891.73000000001</v>
      </c>
      <c r="AL53" s="8">
        <f>+'Gen Rev'!AI53-'Gen Exp'!AE53+'Gen Exp'!AI53-AK53</f>
        <v>0</v>
      </c>
      <c r="AM53" s="21" t="str">
        <f>'Gen Rev'!A53</f>
        <v>Belle Center</v>
      </c>
      <c r="AN53" s="67" t="str">
        <f t="shared" si="1"/>
        <v>Belle Center</v>
      </c>
      <c r="AO53" s="67" t="b">
        <f t="shared" si="2"/>
        <v>1</v>
      </c>
    </row>
    <row r="54" spans="1:41" s="67" customFormat="1" ht="12" customHeight="1" x14ac:dyDescent="0.2">
      <c r="A54" s="1" t="s">
        <v>456</v>
      </c>
      <c r="B54" s="1"/>
      <c r="C54" s="1" t="s">
        <v>455</v>
      </c>
      <c r="D54" s="1"/>
      <c r="E54" s="48">
        <v>0</v>
      </c>
      <c r="F54" s="48"/>
      <c r="G54" s="48">
        <v>0</v>
      </c>
      <c r="H54" s="48"/>
      <c r="I54" s="48">
        <v>0</v>
      </c>
      <c r="J54" s="48"/>
      <c r="K54" s="48">
        <v>334.5</v>
      </c>
      <c r="L54" s="48"/>
      <c r="M54" s="48">
        <v>8866.66</v>
      </c>
      <c r="N54" s="48"/>
      <c r="O54" s="48">
        <v>10807.01</v>
      </c>
      <c r="P54" s="48"/>
      <c r="Q54" s="48">
        <v>11044.47</v>
      </c>
      <c r="R54" s="48"/>
      <c r="S54" s="48">
        <v>0</v>
      </c>
      <c r="T54" s="48"/>
      <c r="U54" s="48">
        <v>0</v>
      </c>
      <c r="V54" s="48"/>
      <c r="W54" s="48">
        <v>0</v>
      </c>
      <c r="X54" s="48"/>
      <c r="Y54" s="48">
        <v>0</v>
      </c>
      <c r="Z54" s="48"/>
      <c r="AA54" s="48">
        <v>0</v>
      </c>
      <c r="AB54" s="48"/>
      <c r="AC54" s="48">
        <v>0</v>
      </c>
      <c r="AD54" s="48"/>
      <c r="AE54" s="48">
        <f t="shared" si="4"/>
        <v>31052.639999999999</v>
      </c>
      <c r="AF54" s="1"/>
      <c r="AG54" s="55">
        <v>-3638.13</v>
      </c>
      <c r="AH54" s="55"/>
      <c r="AI54" s="55">
        <v>15250.67</v>
      </c>
      <c r="AJ54" s="55"/>
      <c r="AK54" s="55">
        <v>11612.54</v>
      </c>
      <c r="AL54" s="8">
        <f>+'Gen Rev'!AI54-'Gen Exp'!AE54+'Gen Exp'!AI54-AK54</f>
        <v>0</v>
      </c>
      <c r="AM54" s="21" t="str">
        <f>'Gen Rev'!A54</f>
        <v>Belle Valley</v>
      </c>
      <c r="AN54" s="67" t="str">
        <f t="shared" si="1"/>
        <v>Belle Valley</v>
      </c>
      <c r="AO54" s="67" t="b">
        <f t="shared" si="2"/>
        <v>1</v>
      </c>
    </row>
    <row r="55" spans="1:41" s="67" customFormat="1" ht="12" customHeight="1" x14ac:dyDescent="0.2">
      <c r="A55" s="1" t="s">
        <v>193</v>
      </c>
      <c r="B55" s="1"/>
      <c r="C55" s="1" t="s">
        <v>481</v>
      </c>
      <c r="D55" s="1"/>
      <c r="E55" s="48">
        <v>406012.65</v>
      </c>
      <c r="F55" s="48"/>
      <c r="G55" s="48">
        <v>0</v>
      </c>
      <c r="H55" s="48"/>
      <c r="I55" s="48">
        <v>34947.89</v>
      </c>
      <c r="J55" s="48"/>
      <c r="K55" s="48">
        <v>5515.87</v>
      </c>
      <c r="L55" s="48"/>
      <c r="M55" s="48">
        <v>0</v>
      </c>
      <c r="N55" s="48"/>
      <c r="O55" s="48">
        <v>0</v>
      </c>
      <c r="P55" s="48"/>
      <c r="Q55" s="48">
        <v>236031.11</v>
      </c>
      <c r="R55" s="48"/>
      <c r="S55" s="48">
        <v>0</v>
      </c>
      <c r="T55" s="48"/>
      <c r="U55" s="48">
        <v>21157.77</v>
      </c>
      <c r="V55" s="48"/>
      <c r="W55" s="48">
        <v>1459.71</v>
      </c>
      <c r="X55" s="48"/>
      <c r="Y55" s="48">
        <v>95972.55</v>
      </c>
      <c r="Z55" s="48"/>
      <c r="AA55" s="48">
        <v>0</v>
      </c>
      <c r="AB55" s="48"/>
      <c r="AC55" s="48">
        <v>0</v>
      </c>
      <c r="AD55" s="48"/>
      <c r="AE55" s="48">
        <f t="shared" si="4"/>
        <v>801097.55</v>
      </c>
      <c r="AF55" s="1"/>
      <c r="AG55" s="55">
        <v>-20221.87</v>
      </c>
      <c r="AH55" s="55"/>
      <c r="AI55" s="55">
        <v>285109.34000000003</v>
      </c>
      <c r="AJ55" s="55"/>
      <c r="AK55" s="55">
        <v>264887.46999999997</v>
      </c>
      <c r="AL55" s="8">
        <f>+'Gen Rev'!AI55-'Gen Exp'!AE55+'Gen Exp'!AI55-AK55</f>
        <v>0</v>
      </c>
      <c r="AM55" s="21" t="str">
        <f>'Gen Rev'!A55</f>
        <v>Bellville</v>
      </c>
      <c r="AN55" s="67" t="str">
        <f t="shared" si="1"/>
        <v>Bellville</v>
      </c>
      <c r="AO55" s="67" t="b">
        <f t="shared" si="2"/>
        <v>1</v>
      </c>
    </row>
    <row r="56" spans="1:41" s="67" customFormat="1" ht="12" customHeight="1" x14ac:dyDescent="0.2">
      <c r="A56" s="1" t="s">
        <v>261</v>
      </c>
      <c r="B56" s="1"/>
      <c r="C56" s="1" t="s">
        <v>261</v>
      </c>
      <c r="D56" s="1"/>
      <c r="E56" s="48">
        <v>10.44</v>
      </c>
      <c r="F56" s="48"/>
      <c r="G56" s="48">
        <v>0</v>
      </c>
      <c r="H56" s="48"/>
      <c r="I56" s="48">
        <v>25038.55</v>
      </c>
      <c r="J56" s="48"/>
      <c r="K56" s="48">
        <v>0</v>
      </c>
      <c r="L56" s="48"/>
      <c r="M56" s="48">
        <v>2880</v>
      </c>
      <c r="N56" s="48"/>
      <c r="O56" s="48">
        <v>0</v>
      </c>
      <c r="P56" s="48"/>
      <c r="Q56" s="48">
        <v>31999.16</v>
      </c>
      <c r="R56" s="48"/>
      <c r="S56" s="48">
        <v>0</v>
      </c>
      <c r="T56" s="48"/>
      <c r="U56" s="48">
        <v>0</v>
      </c>
      <c r="V56" s="48"/>
      <c r="W56" s="48">
        <v>0</v>
      </c>
      <c r="X56" s="48"/>
      <c r="Y56" s="48">
        <v>0</v>
      </c>
      <c r="Z56" s="48"/>
      <c r="AA56" s="48">
        <v>0</v>
      </c>
      <c r="AB56" s="48"/>
      <c r="AC56" s="48">
        <v>0</v>
      </c>
      <c r="AD56" s="48"/>
      <c r="AE56" s="48">
        <f t="shared" si="4"/>
        <v>59928.149999999994</v>
      </c>
      <c r="AF56" s="1"/>
      <c r="AG56" s="55">
        <v>28.13</v>
      </c>
      <c r="AH56" s="55"/>
      <c r="AI56" s="55">
        <v>18865.7</v>
      </c>
      <c r="AJ56" s="55"/>
      <c r="AK56" s="55">
        <v>18893.830000000002</v>
      </c>
      <c r="AL56" s="8">
        <f>+'Gen Rev'!AI56-'Gen Exp'!AE56+'Gen Exp'!AI56-AK56</f>
        <v>0</v>
      </c>
      <c r="AM56" s="21" t="str">
        <f>'Gen Rev'!A56</f>
        <v>Belmont</v>
      </c>
      <c r="AN56" s="67" t="str">
        <f t="shared" si="1"/>
        <v>Belmont</v>
      </c>
      <c r="AO56" s="67" t="b">
        <f t="shared" si="2"/>
        <v>1</v>
      </c>
    </row>
    <row r="57" spans="1:41" s="5" customFormat="1" ht="12" customHeight="1" x14ac:dyDescent="0.2">
      <c r="A57" s="1" t="s">
        <v>794</v>
      </c>
      <c r="B57" s="1"/>
      <c r="C57" s="1" t="s">
        <v>476</v>
      </c>
      <c r="D57" s="1"/>
      <c r="E57" s="48">
        <v>6751.21</v>
      </c>
      <c r="F57" s="48"/>
      <c r="G57" s="48">
        <v>0</v>
      </c>
      <c r="H57" s="48"/>
      <c r="I57" s="48">
        <v>3.1</v>
      </c>
      <c r="J57" s="48"/>
      <c r="K57" s="48">
        <v>0</v>
      </c>
      <c r="L57" s="48"/>
      <c r="M57" s="48">
        <v>0</v>
      </c>
      <c r="N57" s="48"/>
      <c r="O57" s="48">
        <v>0</v>
      </c>
      <c r="P57" s="48"/>
      <c r="Q57" s="48">
        <v>22473.01</v>
      </c>
      <c r="R57" s="48"/>
      <c r="S57" s="48">
        <v>15490.61</v>
      </c>
      <c r="T57" s="48"/>
      <c r="U57" s="48">
        <v>0</v>
      </c>
      <c r="V57" s="48"/>
      <c r="W57" s="48">
        <v>0</v>
      </c>
      <c r="X57" s="48"/>
      <c r="Y57" s="48">
        <v>10742.22</v>
      </c>
      <c r="Z57" s="48"/>
      <c r="AA57" s="48">
        <v>0</v>
      </c>
      <c r="AB57" s="48"/>
      <c r="AC57" s="48">
        <v>0</v>
      </c>
      <c r="AD57" s="48"/>
      <c r="AE57" s="48">
        <f t="shared" si="4"/>
        <v>55460.15</v>
      </c>
      <c r="AF57" s="1"/>
      <c r="AG57" s="55">
        <v>-23362.880000000001</v>
      </c>
      <c r="AH57" s="55"/>
      <c r="AI57" s="55">
        <v>45950.69</v>
      </c>
      <c r="AJ57" s="55"/>
      <c r="AK57" s="55">
        <v>22587.81</v>
      </c>
      <c r="AL57" s="8">
        <f>+'Gen Rev'!AI57-'Gen Exp'!AE57+'Gen Exp'!AI57-AK57</f>
        <v>0</v>
      </c>
      <c r="AM57" s="21" t="str">
        <f>'Gen Rev'!A57</f>
        <v>Belmore</v>
      </c>
      <c r="AN57" s="67" t="str">
        <f t="shared" si="1"/>
        <v>Belmore</v>
      </c>
      <c r="AO57" s="67" t="b">
        <f t="shared" si="2"/>
        <v>1</v>
      </c>
    </row>
    <row r="58" spans="1:41" s="67" customFormat="1" ht="12" customHeight="1" x14ac:dyDescent="0.2">
      <c r="A58" s="1" t="s">
        <v>134</v>
      </c>
      <c r="B58" s="1"/>
      <c r="C58" s="1" t="s">
        <v>429</v>
      </c>
      <c r="D58" s="1"/>
      <c r="E58" s="48">
        <v>5933.27</v>
      </c>
      <c r="F58" s="48"/>
      <c r="G58" s="48">
        <v>345</v>
      </c>
      <c r="H58" s="48"/>
      <c r="I58" s="48">
        <v>0</v>
      </c>
      <c r="J58" s="48"/>
      <c r="K58" s="48">
        <v>0</v>
      </c>
      <c r="L58" s="48"/>
      <c r="M58" s="48">
        <v>0</v>
      </c>
      <c r="N58" s="48"/>
      <c r="O58" s="48">
        <v>0</v>
      </c>
      <c r="P58" s="48"/>
      <c r="Q58" s="48">
        <v>81067.98</v>
      </c>
      <c r="R58" s="48"/>
      <c r="S58" s="48">
        <v>0</v>
      </c>
      <c r="T58" s="48"/>
      <c r="U58" s="48">
        <v>11282.58</v>
      </c>
      <c r="V58" s="48"/>
      <c r="W58" s="48">
        <v>717.42</v>
      </c>
      <c r="X58" s="48"/>
      <c r="Y58" s="48">
        <v>0</v>
      </c>
      <c r="Z58" s="48"/>
      <c r="AA58" s="48">
        <v>0</v>
      </c>
      <c r="AB58" s="48"/>
      <c r="AC58" s="48">
        <v>0</v>
      </c>
      <c r="AD58" s="48"/>
      <c r="AE58" s="48">
        <f t="shared" si="4"/>
        <v>99346.25</v>
      </c>
      <c r="AF58" s="1"/>
      <c r="AG58" s="55">
        <v>38213.83</v>
      </c>
      <c r="AH58" s="55"/>
      <c r="AI58" s="55">
        <v>40460.79</v>
      </c>
      <c r="AJ58" s="55"/>
      <c r="AK58" s="55">
        <v>78674.62</v>
      </c>
      <c r="AL58" s="8">
        <f>+'Gen Rev'!AI58-'Gen Exp'!AE58+'Gen Exp'!AI58-AK58</f>
        <v>0</v>
      </c>
      <c r="AM58" s="21" t="str">
        <f>'Gen Rev'!A58</f>
        <v>Beloit</v>
      </c>
      <c r="AN58" s="67" t="str">
        <f t="shared" si="1"/>
        <v>Beloit</v>
      </c>
      <c r="AO58" s="67" t="b">
        <f t="shared" si="2"/>
        <v>1</v>
      </c>
    </row>
    <row r="59" spans="1:41" s="67" customFormat="1" ht="12" customHeight="1" x14ac:dyDescent="0.2">
      <c r="A59" s="1" t="s">
        <v>292</v>
      </c>
      <c r="B59" s="1"/>
      <c r="C59" s="1" t="s">
        <v>293</v>
      </c>
      <c r="D59" s="1"/>
      <c r="E59" s="48">
        <v>716877</v>
      </c>
      <c r="F59" s="48"/>
      <c r="G59" s="48">
        <v>0</v>
      </c>
      <c r="H59" s="48"/>
      <c r="I59" s="48">
        <v>1277</v>
      </c>
      <c r="J59" s="48"/>
      <c r="K59" s="48">
        <v>0</v>
      </c>
      <c r="L59" s="48"/>
      <c r="M59" s="48">
        <v>55711</v>
      </c>
      <c r="N59" s="48"/>
      <c r="O59" s="48">
        <v>201867</v>
      </c>
      <c r="P59" s="48"/>
      <c r="Q59" s="48">
        <v>397777</v>
      </c>
      <c r="R59" s="48"/>
      <c r="S59" s="48">
        <v>0</v>
      </c>
      <c r="T59" s="48"/>
      <c r="U59" s="48">
        <v>0</v>
      </c>
      <c r="V59" s="48"/>
      <c r="W59" s="48">
        <v>0</v>
      </c>
      <c r="X59" s="48"/>
      <c r="Y59" s="48">
        <v>174773</v>
      </c>
      <c r="Z59" s="48"/>
      <c r="AA59" s="48">
        <v>0</v>
      </c>
      <c r="AB59" s="48"/>
      <c r="AC59" s="48">
        <v>0</v>
      </c>
      <c r="AD59" s="48"/>
      <c r="AE59" s="48">
        <f t="shared" si="4"/>
        <v>1548282</v>
      </c>
      <c r="AF59" s="48"/>
      <c r="AG59" s="59"/>
      <c r="AH59" s="59"/>
      <c r="AI59" s="59"/>
      <c r="AJ59" s="59"/>
      <c r="AK59" s="59"/>
      <c r="AL59" s="8">
        <f>+'Gen Rev'!AI59-'Gen Exp'!AE59+'Gen Exp'!AI59-AK59</f>
        <v>-31804</v>
      </c>
      <c r="AM59" s="21" t="str">
        <f>'Gen Rev'!A59</f>
        <v>Bentleyville</v>
      </c>
      <c r="AN59" s="67" t="str">
        <f t="shared" si="1"/>
        <v>Bentleyville</v>
      </c>
      <c r="AO59" s="67" t="b">
        <f t="shared" si="2"/>
        <v>1</v>
      </c>
    </row>
    <row r="60" spans="1:41" s="67" customFormat="1" ht="12" customHeight="1" x14ac:dyDescent="0.2">
      <c r="A60" s="1" t="s">
        <v>761</v>
      </c>
      <c r="B60" s="1"/>
      <c r="C60" s="1" t="s">
        <v>360</v>
      </c>
      <c r="D60" s="1"/>
      <c r="E60" s="48">
        <v>2754</v>
      </c>
      <c r="F60" s="48"/>
      <c r="G60" s="48">
        <v>1142.2</v>
      </c>
      <c r="H60" s="48"/>
      <c r="I60" s="48">
        <v>72664.11</v>
      </c>
      <c r="J60" s="48"/>
      <c r="K60" s="48">
        <v>0</v>
      </c>
      <c r="L60" s="48"/>
      <c r="M60" s="48">
        <v>728.42</v>
      </c>
      <c r="N60" s="48"/>
      <c r="O60" s="48">
        <v>0</v>
      </c>
      <c r="P60" s="48"/>
      <c r="Q60" s="48">
        <v>31919.57</v>
      </c>
      <c r="R60" s="48"/>
      <c r="S60" s="48">
        <v>0</v>
      </c>
      <c r="T60" s="48"/>
      <c r="U60" s="48">
        <v>0</v>
      </c>
      <c r="V60" s="48"/>
      <c r="W60" s="48">
        <v>0</v>
      </c>
      <c r="X60" s="48"/>
      <c r="Y60" s="48">
        <v>0</v>
      </c>
      <c r="Z60" s="48"/>
      <c r="AA60" s="48">
        <v>0</v>
      </c>
      <c r="AB60" s="48"/>
      <c r="AC60" s="48">
        <v>0</v>
      </c>
      <c r="AD60" s="48"/>
      <c r="AE60" s="48">
        <f t="shared" si="4"/>
        <v>109208.29999999999</v>
      </c>
      <c r="AF60" s="1"/>
      <c r="AG60" s="55">
        <v>2452.59</v>
      </c>
      <c r="AH60" s="55"/>
      <c r="AI60" s="55">
        <v>29366.12</v>
      </c>
      <c r="AJ60" s="55"/>
      <c r="AK60" s="55">
        <v>31818.71</v>
      </c>
      <c r="AL60" s="8">
        <f>+'Gen Rev'!AI60-'Gen Exp'!AE60+'Gen Exp'!AI60-AK60</f>
        <v>0</v>
      </c>
      <c r="AM60" s="21" t="str">
        <f>'Gen Rev'!A60</f>
        <v>Benton Ridge</v>
      </c>
      <c r="AN60" s="67" t="str">
        <f t="shared" si="1"/>
        <v>Benton Ridge</v>
      </c>
      <c r="AO60" s="67" t="b">
        <f t="shared" si="2"/>
        <v>1</v>
      </c>
    </row>
    <row r="61" spans="1:41" s="67" customFormat="1" ht="12" customHeight="1" x14ac:dyDescent="0.2">
      <c r="A61" s="1" t="s">
        <v>130</v>
      </c>
      <c r="B61" s="1"/>
      <c r="C61" s="1" t="s">
        <v>423</v>
      </c>
      <c r="D61" s="1"/>
      <c r="E61" s="48">
        <v>37677.57</v>
      </c>
      <c r="F61" s="48"/>
      <c r="G61" s="48">
        <v>7126.28</v>
      </c>
      <c r="H61" s="48"/>
      <c r="I61" s="48">
        <v>15955.11</v>
      </c>
      <c r="J61" s="48"/>
      <c r="K61" s="48">
        <v>63.74</v>
      </c>
      <c r="L61" s="48"/>
      <c r="M61" s="48">
        <v>0</v>
      </c>
      <c r="N61" s="48"/>
      <c r="O61" s="48">
        <v>0</v>
      </c>
      <c r="P61" s="48"/>
      <c r="Q61" s="48">
        <v>42810.55</v>
      </c>
      <c r="R61" s="48"/>
      <c r="S61" s="48">
        <v>0</v>
      </c>
      <c r="T61" s="48"/>
      <c r="U61" s="48">
        <v>0</v>
      </c>
      <c r="V61" s="48"/>
      <c r="W61" s="48">
        <v>0</v>
      </c>
      <c r="X61" s="48"/>
      <c r="Y61" s="48">
        <v>0</v>
      </c>
      <c r="Z61" s="48"/>
      <c r="AA61" s="48">
        <v>0</v>
      </c>
      <c r="AB61" s="48"/>
      <c r="AC61" s="48">
        <v>0</v>
      </c>
      <c r="AD61" s="48"/>
      <c r="AE61" s="48">
        <f t="shared" si="4"/>
        <v>103633.25</v>
      </c>
      <c r="AF61" s="1"/>
      <c r="AG61" s="55">
        <v>-4929.97</v>
      </c>
      <c r="AH61" s="55"/>
      <c r="AI61" s="55">
        <v>57336.91</v>
      </c>
      <c r="AJ61" s="55"/>
      <c r="AK61" s="55">
        <v>52406.94</v>
      </c>
      <c r="AL61" s="8">
        <f>+'Gen Rev'!AI61-'Gen Exp'!AE61+'Gen Exp'!AI61-AK61</f>
        <v>0</v>
      </c>
      <c r="AM61" s="21" t="str">
        <f>'Gen Rev'!A61</f>
        <v>Berkey</v>
      </c>
      <c r="AN61" s="67" t="str">
        <f t="shared" si="1"/>
        <v>Berkey</v>
      </c>
      <c r="AO61" s="67" t="b">
        <f t="shared" si="2"/>
        <v>1</v>
      </c>
    </row>
    <row r="62" spans="1:41" s="67" customFormat="1" ht="12" customHeight="1" x14ac:dyDescent="0.2">
      <c r="A62" s="1" t="s">
        <v>54</v>
      </c>
      <c r="B62" s="1"/>
      <c r="C62" s="1" t="s">
        <v>325</v>
      </c>
      <c r="D62" s="1"/>
      <c r="E62" s="48">
        <v>125282.34</v>
      </c>
      <c r="F62" s="48"/>
      <c r="G62" s="48">
        <v>10125</v>
      </c>
      <c r="H62" s="48"/>
      <c r="I62" s="48">
        <v>4297.29</v>
      </c>
      <c r="J62" s="48"/>
      <c r="K62" s="48">
        <v>773.5</v>
      </c>
      <c r="L62" s="48"/>
      <c r="M62" s="48">
        <v>819.76</v>
      </c>
      <c r="N62" s="48"/>
      <c r="O62" s="48">
        <v>11627.9</v>
      </c>
      <c r="P62" s="48"/>
      <c r="Q62" s="48">
        <v>62398.25</v>
      </c>
      <c r="R62" s="48"/>
      <c r="S62" s="48">
        <v>0</v>
      </c>
      <c r="T62" s="48"/>
      <c r="U62" s="48">
        <v>0</v>
      </c>
      <c r="V62" s="48"/>
      <c r="W62" s="48">
        <v>0</v>
      </c>
      <c r="X62" s="48"/>
      <c r="Y62" s="48">
        <v>0</v>
      </c>
      <c r="Z62" s="48"/>
      <c r="AA62" s="48">
        <v>0</v>
      </c>
      <c r="AB62" s="48"/>
      <c r="AC62" s="48">
        <v>0</v>
      </c>
      <c r="AD62" s="48"/>
      <c r="AE62" s="48">
        <f t="shared" si="4"/>
        <v>215324.04</v>
      </c>
      <c r="AF62" s="1"/>
      <c r="AG62" s="55">
        <v>-47449.52</v>
      </c>
      <c r="AH62" s="55"/>
      <c r="AI62" s="55">
        <v>143018.9</v>
      </c>
      <c r="AJ62" s="55"/>
      <c r="AK62" s="55">
        <v>95569.38</v>
      </c>
      <c r="AL62" s="8">
        <f>+'Gen Rev'!AI62-'Gen Exp'!AE62+'Gen Exp'!AI62-AK62</f>
        <v>0</v>
      </c>
      <c r="AM62" s="21" t="str">
        <f>'Gen Rev'!A62</f>
        <v>Berlin Heights</v>
      </c>
      <c r="AN62" s="67" t="str">
        <f t="shared" si="1"/>
        <v>Berlin Heights</v>
      </c>
      <c r="AO62" s="67" t="b">
        <f t="shared" si="2"/>
        <v>1</v>
      </c>
    </row>
    <row r="63" spans="1:41" ht="12" customHeight="1" x14ac:dyDescent="0.2">
      <c r="A63" s="1" t="s">
        <v>278</v>
      </c>
      <c r="C63" s="1" t="s">
        <v>277</v>
      </c>
      <c r="E63" s="48">
        <v>264141.96000000002</v>
      </c>
      <c r="F63" s="48"/>
      <c r="G63" s="48">
        <v>7005.65</v>
      </c>
      <c r="H63" s="48"/>
      <c r="I63" s="48">
        <v>8726.65</v>
      </c>
      <c r="J63" s="48"/>
      <c r="K63" s="48">
        <v>8601.4500000000007</v>
      </c>
      <c r="L63" s="48"/>
      <c r="M63" s="48">
        <v>0</v>
      </c>
      <c r="N63" s="48"/>
      <c r="O63" s="48">
        <v>0</v>
      </c>
      <c r="P63" s="48"/>
      <c r="Q63" s="48">
        <v>91184.78</v>
      </c>
      <c r="R63" s="48"/>
      <c r="S63" s="48">
        <v>0</v>
      </c>
      <c r="T63" s="48"/>
      <c r="U63" s="48">
        <v>5880.02</v>
      </c>
      <c r="V63" s="48"/>
      <c r="W63" s="48">
        <v>0</v>
      </c>
      <c r="X63" s="48"/>
      <c r="Y63" s="48">
        <v>0</v>
      </c>
      <c r="Z63" s="48"/>
      <c r="AA63" s="48">
        <v>0</v>
      </c>
      <c r="AB63" s="48"/>
      <c r="AC63" s="48">
        <v>0</v>
      </c>
      <c r="AD63" s="48"/>
      <c r="AE63" s="48">
        <f t="shared" si="4"/>
        <v>385540.51000000013</v>
      </c>
      <c r="AG63" s="55">
        <v>145434.82999999999</v>
      </c>
      <c r="AI63" s="55">
        <v>140054.01999999999</v>
      </c>
      <c r="AK63" s="55">
        <v>285488.84999999998</v>
      </c>
      <c r="AL63" s="8">
        <f>+'Gen Rev'!AI63-'Gen Exp'!AE63+'Gen Exp'!AI63-AK63</f>
        <v>0</v>
      </c>
      <c r="AM63" s="21" t="str">
        <f>'Gen Rev'!A63</f>
        <v>Bethel</v>
      </c>
      <c r="AN63" s="67" t="str">
        <f t="shared" si="1"/>
        <v>Bethel</v>
      </c>
      <c r="AO63" s="67" t="b">
        <f t="shared" si="2"/>
        <v>1</v>
      </c>
    </row>
    <row r="64" spans="1:41" ht="12" customHeight="1" x14ac:dyDescent="0.2">
      <c r="A64" s="1" t="s">
        <v>15</v>
      </c>
      <c r="C64" s="1" t="s">
        <v>261</v>
      </c>
      <c r="E64" s="48">
        <v>37466.11</v>
      </c>
      <c r="F64" s="48"/>
      <c r="G64" s="48">
        <v>0</v>
      </c>
      <c r="H64" s="48"/>
      <c r="I64" s="48">
        <v>1199</v>
      </c>
      <c r="J64" s="48"/>
      <c r="K64" s="48">
        <v>0</v>
      </c>
      <c r="L64" s="48"/>
      <c r="M64" s="48">
        <v>0</v>
      </c>
      <c r="N64" s="48"/>
      <c r="O64" s="48">
        <v>0</v>
      </c>
      <c r="P64" s="48"/>
      <c r="Q64" s="48">
        <v>60129.14</v>
      </c>
      <c r="R64" s="48"/>
      <c r="S64" s="48">
        <v>0</v>
      </c>
      <c r="T64" s="48"/>
      <c r="U64" s="48">
        <v>172075.14</v>
      </c>
      <c r="V64" s="48"/>
      <c r="W64" s="48">
        <v>2151.6999999999998</v>
      </c>
      <c r="X64" s="48"/>
      <c r="Y64" s="48">
        <v>10600</v>
      </c>
      <c r="Z64" s="48"/>
      <c r="AA64" s="48">
        <v>17000</v>
      </c>
      <c r="AB64" s="48"/>
      <c r="AC64" s="48">
        <v>0</v>
      </c>
      <c r="AD64" s="48"/>
      <c r="AE64" s="48">
        <f t="shared" si="4"/>
        <v>300621.09000000003</v>
      </c>
      <c r="AG64" s="55">
        <v>259829.07</v>
      </c>
      <c r="AI64" s="55">
        <v>711.66</v>
      </c>
      <c r="AK64" s="55">
        <v>260540.73</v>
      </c>
      <c r="AL64" s="8">
        <f>+'Gen Rev'!AI64-'Gen Exp'!AE64+'Gen Exp'!AI64-AK64</f>
        <v>0</v>
      </c>
      <c r="AM64" s="21" t="str">
        <f>'Gen Rev'!A64</f>
        <v>Bethesda</v>
      </c>
      <c r="AN64" s="67" t="str">
        <f t="shared" si="1"/>
        <v>Bethesda</v>
      </c>
      <c r="AO64" s="67" t="b">
        <f t="shared" si="2"/>
        <v>1</v>
      </c>
    </row>
    <row r="65" spans="1:41" s="67" customFormat="1" ht="12" customHeight="1" x14ac:dyDescent="0.2">
      <c r="A65" s="1" t="s">
        <v>493</v>
      </c>
      <c r="B65" s="1"/>
      <c r="C65" s="1" t="s">
        <v>494</v>
      </c>
      <c r="D65" s="1"/>
      <c r="E65" s="48">
        <v>108809.11</v>
      </c>
      <c r="F65" s="48"/>
      <c r="G65" s="48">
        <v>1355</v>
      </c>
      <c r="H65" s="48"/>
      <c r="I65" s="48">
        <v>0</v>
      </c>
      <c r="J65" s="48"/>
      <c r="K65" s="48">
        <v>5000</v>
      </c>
      <c r="L65" s="48"/>
      <c r="M65" s="48">
        <v>0</v>
      </c>
      <c r="N65" s="48"/>
      <c r="O65" s="48">
        <v>0</v>
      </c>
      <c r="P65" s="48"/>
      <c r="Q65" s="48">
        <v>116178.09</v>
      </c>
      <c r="R65" s="48"/>
      <c r="S65" s="48">
        <v>0</v>
      </c>
      <c r="T65" s="48"/>
      <c r="U65" s="48">
        <v>0</v>
      </c>
      <c r="V65" s="48"/>
      <c r="W65" s="48">
        <v>0</v>
      </c>
      <c r="X65" s="48"/>
      <c r="Y65" s="48">
        <v>10500</v>
      </c>
      <c r="Z65" s="48"/>
      <c r="AA65" s="48">
        <v>0</v>
      </c>
      <c r="AB65" s="48"/>
      <c r="AC65" s="48">
        <v>65442.5</v>
      </c>
      <c r="AD65" s="48"/>
      <c r="AE65" s="48">
        <f t="shared" si="4"/>
        <v>307284.7</v>
      </c>
      <c r="AF65" s="1"/>
      <c r="AG65" s="55">
        <v>-32133.11</v>
      </c>
      <c r="AH65" s="55"/>
      <c r="AI65" s="55">
        <v>473897.31</v>
      </c>
      <c r="AJ65" s="55"/>
      <c r="AK65" s="55">
        <v>441764.2</v>
      </c>
      <c r="AL65" s="8">
        <f>+'Gen Rev'!AI65-'Gen Exp'!AE65+'Gen Exp'!AI65-AK65</f>
        <v>0</v>
      </c>
      <c r="AM65" s="21" t="str">
        <f>'Gen Rev'!A65</f>
        <v>Bettsville</v>
      </c>
      <c r="AN65" s="67" t="str">
        <f t="shared" si="1"/>
        <v>Bettsville</v>
      </c>
      <c r="AO65" s="67" t="b">
        <f t="shared" si="2"/>
        <v>1</v>
      </c>
    </row>
    <row r="66" spans="1:41" s="67" customFormat="1" ht="12" customHeight="1" x14ac:dyDescent="0.2">
      <c r="A66" s="1" t="s">
        <v>544</v>
      </c>
      <c r="B66" s="1"/>
      <c r="C66" s="1" t="s">
        <v>545</v>
      </c>
      <c r="D66" s="1"/>
      <c r="E66" s="48">
        <v>248428.49</v>
      </c>
      <c r="F66" s="48"/>
      <c r="G66" s="48">
        <v>17459.38</v>
      </c>
      <c r="H66" s="48"/>
      <c r="I66" s="48">
        <v>65517.34</v>
      </c>
      <c r="J66" s="48"/>
      <c r="K66" s="48">
        <v>2600</v>
      </c>
      <c r="L66" s="48"/>
      <c r="M66" s="48">
        <v>0</v>
      </c>
      <c r="N66" s="48"/>
      <c r="O66" s="48">
        <v>0</v>
      </c>
      <c r="P66" s="48"/>
      <c r="Q66" s="48">
        <v>187206.83</v>
      </c>
      <c r="R66" s="48"/>
      <c r="S66" s="48">
        <v>0</v>
      </c>
      <c r="T66" s="48"/>
      <c r="U66" s="48">
        <v>0</v>
      </c>
      <c r="V66" s="48"/>
      <c r="W66" s="48">
        <v>0</v>
      </c>
      <c r="X66" s="48"/>
      <c r="Y66" s="48">
        <v>111138.28</v>
      </c>
      <c r="Z66" s="48"/>
      <c r="AA66" s="48">
        <v>0</v>
      </c>
      <c r="AB66" s="48"/>
      <c r="AC66" s="48">
        <v>0</v>
      </c>
      <c r="AD66" s="48"/>
      <c r="AE66" s="48">
        <f t="shared" si="4"/>
        <v>632350.31999999995</v>
      </c>
      <c r="AF66" s="1"/>
      <c r="AG66" s="55">
        <v>82352.91</v>
      </c>
      <c r="AH66" s="55"/>
      <c r="AI66" s="55">
        <v>211964.63</v>
      </c>
      <c r="AJ66" s="55"/>
      <c r="AK66" s="55">
        <v>294317.53999999998</v>
      </c>
      <c r="AL66" s="8">
        <f>+'Gen Rev'!AI66-'Gen Exp'!AE66+'Gen Exp'!AI66-AK66</f>
        <v>0</v>
      </c>
      <c r="AM66" s="21" t="str">
        <f>'Gen Rev'!A66</f>
        <v>Beverly</v>
      </c>
      <c r="AN66" s="67" t="str">
        <f t="shared" si="1"/>
        <v>Beverly</v>
      </c>
      <c r="AO66" s="67" t="b">
        <f t="shared" si="2"/>
        <v>1</v>
      </c>
    </row>
    <row r="67" spans="1:41" ht="12" customHeight="1" x14ac:dyDescent="0.2">
      <c r="A67" s="1" t="s">
        <v>234</v>
      </c>
      <c r="C67" s="1" t="s">
        <v>554</v>
      </c>
      <c r="E67" s="48">
        <v>20141.099999999999</v>
      </c>
      <c r="F67" s="48"/>
      <c r="G67" s="48">
        <v>0</v>
      </c>
      <c r="H67" s="48"/>
      <c r="I67" s="48">
        <v>0</v>
      </c>
      <c r="J67" s="48"/>
      <c r="K67" s="48">
        <v>0</v>
      </c>
      <c r="L67" s="48"/>
      <c r="M67" s="48">
        <v>395.64</v>
      </c>
      <c r="N67" s="48"/>
      <c r="O67" s="48">
        <v>0</v>
      </c>
      <c r="P67" s="48"/>
      <c r="Q67" s="48">
        <v>10968.1</v>
      </c>
      <c r="R67" s="48"/>
      <c r="S67" s="48">
        <v>0</v>
      </c>
      <c r="T67" s="48"/>
      <c r="U67" s="48">
        <v>0</v>
      </c>
      <c r="V67" s="48"/>
      <c r="W67" s="48">
        <v>0</v>
      </c>
      <c r="X67" s="48"/>
      <c r="Y67" s="48">
        <v>0</v>
      </c>
      <c r="Z67" s="48"/>
      <c r="AA67" s="48">
        <v>0</v>
      </c>
      <c r="AB67" s="48"/>
      <c r="AC67" s="48">
        <v>0</v>
      </c>
      <c r="AD67" s="48"/>
      <c r="AE67" s="48">
        <f t="shared" si="4"/>
        <v>31504.839999999997</v>
      </c>
      <c r="AG67" s="55">
        <v>-16340.6</v>
      </c>
      <c r="AI67" s="55">
        <v>66801.460000000006</v>
      </c>
      <c r="AK67" s="55">
        <v>50460.86</v>
      </c>
      <c r="AL67" s="8">
        <f>+'Gen Rev'!AI67-'Gen Exp'!AE67+'Gen Exp'!AI67-AK67</f>
        <v>0</v>
      </c>
      <c r="AM67" s="21" t="str">
        <f>'Gen Rev'!A67</f>
        <v>Blakeslee</v>
      </c>
      <c r="AN67" s="67" t="str">
        <f t="shared" si="1"/>
        <v>Blakeslee</v>
      </c>
      <c r="AO67" s="67" t="b">
        <f t="shared" si="2"/>
        <v>1</v>
      </c>
    </row>
    <row r="68" spans="1:41" ht="12" customHeight="1" x14ac:dyDescent="0.2">
      <c r="A68" s="1" t="s">
        <v>789</v>
      </c>
      <c r="C68" s="1" t="s">
        <v>280</v>
      </c>
      <c r="D68" s="7"/>
      <c r="E68" s="48">
        <v>643365</v>
      </c>
      <c r="F68" s="48"/>
      <c r="G68" s="48">
        <v>5784</v>
      </c>
      <c r="H68" s="48"/>
      <c r="I68" s="48">
        <v>87578</v>
      </c>
      <c r="J68" s="48"/>
      <c r="K68" s="48">
        <v>10423</v>
      </c>
      <c r="L68" s="48"/>
      <c r="M68" s="48">
        <v>0</v>
      </c>
      <c r="N68" s="48"/>
      <c r="O68" s="48">
        <v>0</v>
      </c>
      <c r="P68" s="48"/>
      <c r="Q68" s="48">
        <v>230762</v>
      </c>
      <c r="R68" s="48"/>
      <c r="S68" s="48">
        <v>0</v>
      </c>
      <c r="T68" s="48"/>
      <c r="U68" s="48">
        <v>0</v>
      </c>
      <c r="V68" s="48"/>
      <c r="W68" s="48">
        <v>0</v>
      </c>
      <c r="X68" s="48"/>
      <c r="Y68" s="48">
        <v>0</v>
      </c>
      <c r="Z68" s="48"/>
      <c r="AA68" s="48">
        <v>22297</v>
      </c>
      <c r="AB68" s="48"/>
      <c r="AC68" s="48">
        <v>16339</v>
      </c>
      <c r="AD68" s="48"/>
      <c r="AE68" s="48">
        <f t="shared" si="4"/>
        <v>1016548</v>
      </c>
      <c r="AF68" s="48"/>
      <c r="AG68" s="59"/>
      <c r="AH68" s="59"/>
      <c r="AI68" s="59"/>
      <c r="AJ68" s="59"/>
      <c r="AK68" s="59"/>
      <c r="AL68" s="8">
        <f>+'Gen Rev'!AI68-'Gen Exp'!AE68+'Gen Exp'!AI68-AK68</f>
        <v>-82765</v>
      </c>
      <c r="AM68" s="21" t="str">
        <f>'Gen Rev'!A68</f>
        <v>Blanchester</v>
      </c>
      <c r="AN68" s="67" t="str">
        <f t="shared" si="1"/>
        <v>Blanchester</v>
      </c>
      <c r="AO68" s="67" t="b">
        <f t="shared" si="2"/>
        <v>1</v>
      </c>
    </row>
    <row r="69" spans="1:41" s="67" customFormat="1" ht="12" customHeight="1" x14ac:dyDescent="0.2">
      <c r="A69" s="1" t="s">
        <v>559</v>
      </c>
      <c r="B69" s="1"/>
      <c r="C69" s="1" t="s">
        <v>558</v>
      </c>
      <c r="D69" s="5"/>
      <c r="E69" s="48">
        <v>30849</v>
      </c>
      <c r="F69" s="48"/>
      <c r="G69" s="48">
        <v>4152</v>
      </c>
      <c r="H69" s="48"/>
      <c r="I69" s="48">
        <v>16432</v>
      </c>
      <c r="J69" s="48"/>
      <c r="K69" s="48">
        <v>0</v>
      </c>
      <c r="L69" s="48"/>
      <c r="M69" s="48">
        <v>0</v>
      </c>
      <c r="N69" s="48"/>
      <c r="O69" s="48">
        <v>0</v>
      </c>
      <c r="P69" s="48"/>
      <c r="Q69" s="48">
        <v>85889</v>
      </c>
      <c r="R69" s="48"/>
      <c r="S69" s="48">
        <v>8654</v>
      </c>
      <c r="T69" s="48"/>
      <c r="U69" s="48">
        <v>0</v>
      </c>
      <c r="V69" s="48"/>
      <c r="W69" s="48">
        <v>0</v>
      </c>
      <c r="X69" s="48"/>
      <c r="Y69" s="48">
        <v>0</v>
      </c>
      <c r="Z69" s="48"/>
      <c r="AA69" s="48">
        <v>31362</v>
      </c>
      <c r="AB69" s="48"/>
      <c r="AC69" s="48">
        <v>0</v>
      </c>
      <c r="AD69" s="48"/>
      <c r="AE69" s="48">
        <f t="shared" si="4"/>
        <v>177338</v>
      </c>
      <c r="AF69" s="48"/>
      <c r="AG69" s="59"/>
      <c r="AH69" s="59"/>
      <c r="AI69" s="59"/>
      <c r="AJ69" s="59"/>
      <c r="AK69" s="59"/>
      <c r="AL69" s="8">
        <f>+'Gen Rev'!AI69-'Gen Exp'!AE69+'Gen Exp'!AI69-AK69</f>
        <v>17965</v>
      </c>
      <c r="AM69" s="21" t="str">
        <f>'Gen Rev'!A69</f>
        <v>Bloomdale</v>
      </c>
      <c r="AN69" s="67" t="str">
        <f t="shared" si="1"/>
        <v>Bloomdale</v>
      </c>
      <c r="AO69" s="67" t="b">
        <f t="shared" si="2"/>
        <v>1</v>
      </c>
    </row>
    <row r="70" spans="1:41" ht="12" customHeight="1" x14ac:dyDescent="0.2">
      <c r="A70" s="1" t="s">
        <v>63</v>
      </c>
      <c r="C70" s="1" t="s">
        <v>334</v>
      </c>
      <c r="E70" s="48">
        <v>45701.31</v>
      </c>
      <c r="F70" s="48"/>
      <c r="G70" s="48">
        <v>2072.8000000000002</v>
      </c>
      <c r="H70" s="48"/>
      <c r="I70" s="48">
        <v>900</v>
      </c>
      <c r="J70" s="48"/>
      <c r="K70" s="48">
        <v>0</v>
      </c>
      <c r="L70" s="48"/>
      <c r="M70" s="48">
        <v>24233.53</v>
      </c>
      <c r="N70" s="48"/>
      <c r="O70" s="48">
        <v>0</v>
      </c>
      <c r="P70" s="48"/>
      <c r="Q70" s="48">
        <v>43115.39</v>
      </c>
      <c r="R70" s="48"/>
      <c r="S70" s="48">
        <v>0</v>
      </c>
      <c r="T70" s="48"/>
      <c r="U70" s="48">
        <v>0</v>
      </c>
      <c r="V70" s="48"/>
      <c r="W70" s="48">
        <v>0</v>
      </c>
      <c r="X70" s="48"/>
      <c r="Y70" s="48">
        <v>600</v>
      </c>
      <c r="Z70" s="48"/>
      <c r="AA70" s="48">
        <v>0</v>
      </c>
      <c r="AB70" s="48"/>
      <c r="AC70" s="48">
        <v>439.16</v>
      </c>
      <c r="AD70" s="48"/>
      <c r="AE70" s="48">
        <f t="shared" si="4"/>
        <v>117062.19</v>
      </c>
      <c r="AG70" s="55">
        <v>-2131.04</v>
      </c>
      <c r="AI70" s="55">
        <v>-28016.82</v>
      </c>
      <c r="AK70" s="55">
        <v>-30147.86</v>
      </c>
      <c r="AL70" s="8">
        <f>+'Gen Rev'!AI70-'Gen Exp'!AE70+'Gen Exp'!AI70-AK70</f>
        <v>0</v>
      </c>
      <c r="AM70" s="21" t="str">
        <f>'Gen Rev'!A70</f>
        <v>Bloomingburg</v>
      </c>
      <c r="AN70" s="67" t="str">
        <f t="shared" si="1"/>
        <v>Bloomingburg</v>
      </c>
      <c r="AO70" s="67" t="b">
        <f t="shared" si="2"/>
        <v>1</v>
      </c>
    </row>
    <row r="71" spans="1:41" ht="12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L71" s="8"/>
      <c r="AM71" s="21"/>
      <c r="AN71" s="67"/>
      <c r="AO71" s="67"/>
    </row>
    <row r="72" spans="1:41" ht="12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88" t="s">
        <v>733</v>
      </c>
      <c r="AL72" s="8"/>
      <c r="AM72" s="21"/>
      <c r="AN72" s="67"/>
      <c r="AO72" s="67"/>
    </row>
    <row r="73" spans="1:41" ht="12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L73" s="8"/>
      <c r="AM73" s="21"/>
      <c r="AN73" s="67"/>
      <c r="AO73" s="67"/>
    </row>
    <row r="74" spans="1:41" ht="12" customHeight="1" x14ac:dyDescent="0.2">
      <c r="A74" s="1" t="s">
        <v>110</v>
      </c>
      <c r="C74" s="1" t="s">
        <v>390</v>
      </c>
      <c r="E74" s="68">
        <v>7843.24</v>
      </c>
      <c r="F74" s="48"/>
      <c r="G74" s="68">
        <v>509.59</v>
      </c>
      <c r="H74" s="68"/>
      <c r="I74" s="68">
        <v>5337.66</v>
      </c>
      <c r="J74" s="68"/>
      <c r="K74" s="68">
        <v>0</v>
      </c>
      <c r="L74" s="68"/>
      <c r="M74" s="68">
        <v>0</v>
      </c>
      <c r="N74" s="68"/>
      <c r="O74" s="68">
        <v>0</v>
      </c>
      <c r="P74" s="68"/>
      <c r="Q74" s="68">
        <v>15212.03</v>
      </c>
      <c r="R74" s="68"/>
      <c r="S74" s="68">
        <v>6800</v>
      </c>
      <c r="T74" s="68"/>
      <c r="U74" s="68">
        <v>2400</v>
      </c>
      <c r="V74" s="68"/>
      <c r="W74" s="68">
        <v>0</v>
      </c>
      <c r="X74" s="68"/>
      <c r="Y74" s="68">
        <v>0</v>
      </c>
      <c r="Z74" s="68"/>
      <c r="AA74" s="68">
        <v>0</v>
      </c>
      <c r="AB74" s="68"/>
      <c r="AC74" s="68">
        <v>0</v>
      </c>
      <c r="AD74" s="68"/>
      <c r="AE74" s="68">
        <f t="shared" si="4"/>
        <v>38102.520000000004</v>
      </c>
      <c r="AG74" s="55">
        <v>-5928.36</v>
      </c>
      <c r="AI74" s="55">
        <v>37563.800000000003</v>
      </c>
      <c r="AK74" s="55">
        <v>31635.439999999999</v>
      </c>
      <c r="AL74" s="8">
        <f>+'Gen Rev'!AI71-'Gen Exp'!AE74+'Gen Exp'!AI74-AK74</f>
        <v>0</v>
      </c>
      <c r="AM74" s="21" t="str">
        <f>'Gen Rev'!A71</f>
        <v>Bloomingdale</v>
      </c>
      <c r="AN74" s="67" t="str">
        <f t="shared" si="1"/>
        <v>Bloomingdale</v>
      </c>
      <c r="AO74" s="67" t="b">
        <f t="shared" si="2"/>
        <v>1</v>
      </c>
    </row>
    <row r="75" spans="1:41" s="67" customFormat="1" ht="12" customHeight="1" x14ac:dyDescent="0.2">
      <c r="A75" s="1" t="s">
        <v>495</v>
      </c>
      <c r="B75" s="1"/>
      <c r="C75" s="1" t="s">
        <v>494</v>
      </c>
      <c r="D75" s="1"/>
      <c r="E75" s="48">
        <v>10504</v>
      </c>
      <c r="F75" s="48"/>
      <c r="G75" s="48">
        <v>1523</v>
      </c>
      <c r="H75" s="48"/>
      <c r="I75" s="48">
        <v>0</v>
      </c>
      <c r="J75" s="48"/>
      <c r="K75" s="48">
        <v>0</v>
      </c>
      <c r="L75" s="48"/>
      <c r="M75" s="48">
        <v>7166</v>
      </c>
      <c r="N75" s="48"/>
      <c r="O75" s="48">
        <v>20083</v>
      </c>
      <c r="P75" s="48"/>
      <c r="Q75" s="48">
        <v>48061</v>
      </c>
      <c r="R75" s="48"/>
      <c r="S75" s="48">
        <v>0</v>
      </c>
      <c r="T75" s="48"/>
      <c r="U75" s="48">
        <v>0</v>
      </c>
      <c r="V75" s="48"/>
      <c r="W75" s="48">
        <v>0</v>
      </c>
      <c r="X75" s="48"/>
      <c r="Y75" s="48">
        <v>36720</v>
      </c>
      <c r="Z75" s="48"/>
      <c r="AA75" s="48">
        <v>0</v>
      </c>
      <c r="AB75" s="48"/>
      <c r="AC75" s="48">
        <v>0</v>
      </c>
      <c r="AD75" s="48"/>
      <c r="AE75" s="48">
        <f t="shared" si="4"/>
        <v>124057</v>
      </c>
      <c r="AF75" s="48"/>
      <c r="AG75" s="59"/>
      <c r="AH75" s="59"/>
      <c r="AI75" s="59"/>
      <c r="AJ75" s="59"/>
      <c r="AK75" s="59"/>
      <c r="AL75" s="8">
        <f>+'Gen Rev'!AI72-'Gen Exp'!AE75+'Gen Exp'!AI75-AK75</f>
        <v>-32276</v>
      </c>
      <c r="AM75" s="21" t="str">
        <f>'Gen Rev'!A72</f>
        <v>Bloomville</v>
      </c>
      <c r="AN75" s="67" t="str">
        <f t="shared" si="1"/>
        <v>Bloomville</v>
      </c>
      <c r="AO75" s="67" t="b">
        <f t="shared" si="2"/>
        <v>1</v>
      </c>
    </row>
    <row r="76" spans="1:41" s="67" customFormat="1" ht="12" customHeight="1" x14ac:dyDescent="0.2">
      <c r="A76" s="1" t="s">
        <v>633</v>
      </c>
      <c r="B76" s="1"/>
      <c r="C76" s="1" t="s">
        <v>651</v>
      </c>
      <c r="E76" s="48">
        <v>726695</v>
      </c>
      <c r="F76" s="48"/>
      <c r="G76" s="48">
        <v>28355</v>
      </c>
      <c r="H76" s="48"/>
      <c r="I76" s="48">
        <v>84085</v>
      </c>
      <c r="J76" s="48"/>
      <c r="K76" s="48">
        <v>1000</v>
      </c>
      <c r="L76" s="48"/>
      <c r="M76" s="48">
        <v>19500</v>
      </c>
      <c r="N76" s="48"/>
      <c r="O76" s="48">
        <v>112017</v>
      </c>
      <c r="P76" s="48"/>
      <c r="Q76" s="48">
        <v>474504</v>
      </c>
      <c r="R76" s="48"/>
      <c r="S76" s="48">
        <v>68689</v>
      </c>
      <c r="T76" s="48"/>
      <c r="U76" s="48">
        <v>0</v>
      </c>
      <c r="V76" s="48"/>
      <c r="W76" s="48">
        <v>0</v>
      </c>
      <c r="X76" s="48"/>
      <c r="Y76" s="48">
        <v>731000</v>
      </c>
      <c r="Z76" s="48"/>
      <c r="AA76" s="48">
        <v>103000</v>
      </c>
      <c r="AB76" s="48"/>
      <c r="AC76" s="48">
        <v>0</v>
      </c>
      <c r="AD76" s="48"/>
      <c r="AE76" s="48">
        <f t="shared" si="4"/>
        <v>2348845</v>
      </c>
      <c r="AF76" s="48"/>
      <c r="AG76" s="59"/>
      <c r="AH76" s="59"/>
      <c r="AI76" s="59"/>
      <c r="AJ76" s="59"/>
      <c r="AK76" s="59"/>
      <c r="AL76" s="8">
        <f>+'Gen Rev'!AI76-'Gen Exp'!AE76+'Gen Exp'!AI76-AK76</f>
        <v>355806</v>
      </c>
      <c r="AM76" s="21" t="str">
        <f>'Gen Rev'!A76</f>
        <v>Bluffton</v>
      </c>
      <c r="AN76" s="67" t="str">
        <f t="shared" si="1"/>
        <v>Bluffton</v>
      </c>
      <c r="AO76" s="67" t="b">
        <f t="shared" si="2"/>
        <v>1</v>
      </c>
    </row>
    <row r="77" spans="1:41" ht="12" customHeight="1" x14ac:dyDescent="0.2">
      <c r="A77" s="1" t="s">
        <v>523</v>
      </c>
      <c r="C77" s="1" t="s">
        <v>521</v>
      </c>
      <c r="E77" s="48">
        <v>108354.84</v>
      </c>
      <c r="F77" s="48"/>
      <c r="G77" s="48">
        <v>69.3</v>
      </c>
      <c r="H77" s="48"/>
      <c r="I77" s="48">
        <v>19802.400000000001</v>
      </c>
      <c r="J77" s="48"/>
      <c r="K77" s="48">
        <v>9890.18</v>
      </c>
      <c r="L77" s="48"/>
      <c r="M77" s="48">
        <v>32516.94</v>
      </c>
      <c r="N77" s="48"/>
      <c r="O77" s="48">
        <v>5907.16</v>
      </c>
      <c r="P77" s="48"/>
      <c r="Q77" s="48">
        <v>114847.55</v>
      </c>
      <c r="R77" s="48"/>
      <c r="S77" s="48">
        <v>0</v>
      </c>
      <c r="T77" s="48"/>
      <c r="U77" s="48">
        <v>373900</v>
      </c>
      <c r="V77" s="48"/>
      <c r="W77" s="48">
        <v>12408.66</v>
      </c>
      <c r="X77" s="48"/>
      <c r="Y77" s="48">
        <v>0</v>
      </c>
      <c r="Z77" s="48"/>
      <c r="AA77" s="48">
        <v>0</v>
      </c>
      <c r="AB77" s="48"/>
      <c r="AC77" s="48">
        <v>19933.62</v>
      </c>
      <c r="AD77" s="48"/>
      <c r="AE77" s="48">
        <f t="shared" si="4"/>
        <v>697630.65</v>
      </c>
      <c r="AG77" s="55">
        <v>-267681.2</v>
      </c>
      <c r="AI77" s="55">
        <v>979911.23</v>
      </c>
      <c r="AK77" s="55">
        <v>712230.03</v>
      </c>
      <c r="AL77" s="8">
        <f>+'Gen Rev'!AI77-'Gen Exp'!AE77+'Gen Exp'!AI77-AK77</f>
        <v>0</v>
      </c>
      <c r="AM77" s="21" t="str">
        <f>'Gen Rev'!A77</f>
        <v>Bolivar</v>
      </c>
      <c r="AN77" s="67" t="str">
        <f t="shared" ref="AN77:AN143" si="5">A77</f>
        <v>Bolivar</v>
      </c>
      <c r="AO77" s="67" t="b">
        <f t="shared" ref="AO77:AO143" si="6">AM77=AN77</f>
        <v>1</v>
      </c>
    </row>
    <row r="78" spans="1:41" ht="12" customHeight="1" x14ac:dyDescent="0.2">
      <c r="A78" s="1" t="s">
        <v>510</v>
      </c>
      <c r="C78" s="1" t="s">
        <v>511</v>
      </c>
      <c r="D78" s="67"/>
      <c r="E78" s="48">
        <v>564104</v>
      </c>
      <c r="F78" s="48"/>
      <c r="G78" s="48">
        <v>25784</v>
      </c>
      <c r="H78" s="48"/>
      <c r="I78" s="48">
        <v>0</v>
      </c>
      <c r="J78" s="48"/>
      <c r="K78" s="48">
        <v>92931</v>
      </c>
      <c r="L78" s="48"/>
      <c r="M78" s="48">
        <v>6230</v>
      </c>
      <c r="N78" s="48"/>
      <c r="O78" s="48">
        <v>150569</v>
      </c>
      <c r="P78" s="48"/>
      <c r="Q78" s="48">
        <f>533293+172936+38257</f>
        <v>744486</v>
      </c>
      <c r="R78" s="48"/>
      <c r="S78" s="48">
        <v>178122</v>
      </c>
      <c r="T78" s="48"/>
      <c r="U78" s="48">
        <v>0</v>
      </c>
      <c r="V78" s="48"/>
      <c r="W78" s="48">
        <v>0</v>
      </c>
      <c r="X78" s="48"/>
      <c r="Y78" s="48">
        <v>0</v>
      </c>
      <c r="Z78" s="48"/>
      <c r="AA78" s="48">
        <v>0</v>
      </c>
      <c r="AB78" s="48"/>
      <c r="AC78" s="48">
        <v>0</v>
      </c>
      <c r="AD78" s="48"/>
      <c r="AE78" s="48">
        <f t="shared" si="4"/>
        <v>1762226</v>
      </c>
      <c r="AF78" s="48"/>
      <c r="AG78" s="59"/>
      <c r="AH78" s="59"/>
      <c r="AI78" s="59"/>
      <c r="AJ78" s="59"/>
      <c r="AK78" s="59"/>
      <c r="AL78" s="8">
        <f>+'Gen Rev'!AI78-'Gen Exp'!AE78+'Gen Exp'!AI78-AK78</f>
        <v>181890</v>
      </c>
      <c r="AM78" s="21" t="str">
        <f>'Gen Rev'!A78</f>
        <v>Boston Heights</v>
      </c>
      <c r="AN78" s="67" t="str">
        <f t="shared" si="5"/>
        <v>Boston Heights</v>
      </c>
      <c r="AO78" s="67" t="b">
        <f t="shared" si="6"/>
        <v>1</v>
      </c>
    </row>
    <row r="79" spans="1:41" s="67" customFormat="1" ht="12" customHeight="1" x14ac:dyDescent="0.2">
      <c r="A79" s="1" t="s">
        <v>497</v>
      </c>
      <c r="B79" s="1"/>
      <c r="C79" s="1" t="s">
        <v>498</v>
      </c>
      <c r="D79" s="5"/>
      <c r="E79" s="48">
        <v>226520</v>
      </c>
      <c r="F79" s="48"/>
      <c r="G79" s="48">
        <v>4171</v>
      </c>
      <c r="H79" s="48"/>
      <c r="I79" s="48">
        <v>54616</v>
      </c>
      <c r="J79" s="48"/>
      <c r="K79" s="48">
        <v>174</v>
      </c>
      <c r="L79" s="48"/>
      <c r="M79" s="48">
        <v>0</v>
      </c>
      <c r="N79" s="48"/>
      <c r="O79" s="48">
        <v>342</v>
      </c>
      <c r="P79" s="48"/>
      <c r="Q79" s="48">
        <v>369163</v>
      </c>
      <c r="R79" s="48"/>
      <c r="S79" s="48">
        <v>0</v>
      </c>
      <c r="T79" s="48"/>
      <c r="U79" s="48">
        <v>0</v>
      </c>
      <c r="V79" s="48"/>
      <c r="W79" s="48">
        <v>0</v>
      </c>
      <c r="X79" s="48"/>
      <c r="Y79" s="48">
        <v>0</v>
      </c>
      <c r="Z79" s="48"/>
      <c r="AA79" s="48">
        <v>0</v>
      </c>
      <c r="AB79" s="48"/>
      <c r="AC79" s="48">
        <v>0</v>
      </c>
      <c r="AD79" s="48"/>
      <c r="AE79" s="48">
        <f t="shared" si="4"/>
        <v>654986</v>
      </c>
      <c r="AF79" s="48"/>
      <c r="AG79" s="59"/>
      <c r="AH79" s="59"/>
      <c r="AI79" s="59"/>
      <c r="AJ79" s="59"/>
      <c r="AK79" s="59"/>
      <c r="AL79" s="8">
        <f>+'Gen Rev'!AI79-'Gen Exp'!AE79+'Gen Exp'!AI79-AK79</f>
        <v>122579</v>
      </c>
      <c r="AM79" s="21" t="str">
        <f>'Gen Rev'!A79</f>
        <v>Botkins</v>
      </c>
      <c r="AN79" s="67" t="str">
        <f t="shared" si="5"/>
        <v>Botkins</v>
      </c>
      <c r="AO79" s="67" t="b">
        <f t="shared" si="6"/>
        <v>1</v>
      </c>
    </row>
    <row r="80" spans="1:41" ht="12" customHeight="1" x14ac:dyDescent="0.2">
      <c r="A80" s="1" t="s">
        <v>372</v>
      </c>
      <c r="C80" s="1" t="s">
        <v>373</v>
      </c>
      <c r="E80" s="48">
        <v>16577.71</v>
      </c>
      <c r="F80" s="48"/>
      <c r="G80" s="48">
        <v>0</v>
      </c>
      <c r="H80" s="48"/>
      <c r="I80" s="48">
        <v>10700</v>
      </c>
      <c r="J80" s="48"/>
      <c r="K80" s="48">
        <v>0</v>
      </c>
      <c r="L80" s="48"/>
      <c r="M80" s="48">
        <v>240</v>
      </c>
      <c r="N80" s="48"/>
      <c r="O80" s="48">
        <v>0</v>
      </c>
      <c r="P80" s="48"/>
      <c r="Q80" s="48">
        <v>72075.45</v>
      </c>
      <c r="R80" s="48"/>
      <c r="S80" s="48">
        <v>0</v>
      </c>
      <c r="T80" s="48"/>
      <c r="U80" s="48">
        <v>0</v>
      </c>
      <c r="V80" s="48"/>
      <c r="W80" s="48">
        <v>0</v>
      </c>
      <c r="X80" s="48"/>
      <c r="Y80" s="48">
        <v>0</v>
      </c>
      <c r="Z80" s="48"/>
      <c r="AA80" s="48">
        <v>0</v>
      </c>
      <c r="AB80" s="48"/>
      <c r="AC80" s="48">
        <v>0</v>
      </c>
      <c r="AD80" s="48"/>
      <c r="AE80" s="48">
        <f t="shared" si="4"/>
        <v>99593.16</v>
      </c>
      <c r="AG80" s="55">
        <v>-6704.93</v>
      </c>
      <c r="AI80" s="55">
        <v>218598.6</v>
      </c>
      <c r="AK80" s="55">
        <v>211893.67</v>
      </c>
      <c r="AL80" s="8">
        <f>+'Gen Rev'!AI80-'Gen Exp'!AE80+'Gen Exp'!AI80-AK80</f>
        <v>0</v>
      </c>
      <c r="AM80" s="21" t="str">
        <f>'Gen Rev'!A80</f>
        <v>Bowerston</v>
      </c>
      <c r="AN80" s="67" t="str">
        <f t="shared" si="5"/>
        <v>Bowerston</v>
      </c>
      <c r="AO80" s="67" t="b">
        <f t="shared" si="6"/>
        <v>1</v>
      </c>
    </row>
    <row r="81" spans="1:41" s="67" customFormat="1" ht="12" customHeight="1" x14ac:dyDescent="0.2">
      <c r="A81" s="1" t="s">
        <v>78</v>
      </c>
      <c r="B81" s="1"/>
      <c r="C81" s="1" t="s">
        <v>345</v>
      </c>
      <c r="D81" s="1"/>
      <c r="E81" s="48">
        <v>0</v>
      </c>
      <c r="F81" s="48"/>
      <c r="G81" s="48">
        <v>0</v>
      </c>
      <c r="H81" s="48"/>
      <c r="I81" s="48">
        <v>0</v>
      </c>
      <c r="J81" s="48"/>
      <c r="K81" s="48">
        <v>0</v>
      </c>
      <c r="L81" s="48"/>
      <c r="M81" s="48">
        <v>0</v>
      </c>
      <c r="N81" s="48"/>
      <c r="O81" s="48">
        <v>0</v>
      </c>
      <c r="P81" s="48"/>
      <c r="Q81" s="48">
        <v>33328.76</v>
      </c>
      <c r="R81" s="48"/>
      <c r="S81" s="48">
        <v>0</v>
      </c>
      <c r="T81" s="48"/>
      <c r="U81" s="48">
        <v>0</v>
      </c>
      <c r="V81" s="48"/>
      <c r="W81" s="48">
        <v>0</v>
      </c>
      <c r="X81" s="48"/>
      <c r="Y81" s="48">
        <v>0</v>
      </c>
      <c r="Z81" s="48"/>
      <c r="AA81" s="48">
        <v>0</v>
      </c>
      <c r="AB81" s="48"/>
      <c r="AC81" s="48">
        <v>15</v>
      </c>
      <c r="AD81" s="48"/>
      <c r="AE81" s="48">
        <f t="shared" si="4"/>
        <v>33343.760000000002</v>
      </c>
      <c r="AF81" s="1"/>
      <c r="AG81" s="55">
        <v>-4620.22</v>
      </c>
      <c r="AH81" s="55"/>
      <c r="AI81" s="55">
        <v>29515.88</v>
      </c>
      <c r="AJ81" s="55"/>
      <c r="AK81" s="55">
        <v>24895.66</v>
      </c>
      <c r="AL81" s="8">
        <f>+'Gen Rev'!AI81-'Gen Exp'!AE81+'Gen Exp'!AI81-AK81</f>
        <v>0</v>
      </c>
      <c r="AM81" s="21" t="str">
        <f>'Gen Rev'!A81</f>
        <v>Bowersville</v>
      </c>
      <c r="AN81" s="67" t="str">
        <f t="shared" si="5"/>
        <v>Bowersville</v>
      </c>
      <c r="AO81" s="67" t="b">
        <f t="shared" si="6"/>
        <v>1</v>
      </c>
    </row>
    <row r="82" spans="1:41" s="67" customFormat="1" ht="12" customHeight="1" x14ac:dyDescent="0.2">
      <c r="A82" s="1" t="s">
        <v>436</v>
      </c>
      <c r="B82" s="1"/>
      <c r="C82" s="1" t="s">
        <v>781</v>
      </c>
      <c r="D82" s="1"/>
      <c r="E82" s="48">
        <v>163183</v>
      </c>
      <c r="F82" s="48"/>
      <c r="G82" s="48">
        <v>0</v>
      </c>
      <c r="H82" s="48"/>
      <c r="I82" s="48">
        <v>3672</v>
      </c>
      <c r="J82" s="48"/>
      <c r="K82" s="48">
        <v>0</v>
      </c>
      <c r="L82" s="48"/>
      <c r="M82" s="48">
        <v>0</v>
      </c>
      <c r="N82" s="48"/>
      <c r="O82" s="48">
        <v>0</v>
      </c>
      <c r="P82" s="48"/>
      <c r="Q82" s="48">
        <v>129636</v>
      </c>
      <c r="R82" s="48"/>
      <c r="S82" s="48">
        <v>0</v>
      </c>
      <c r="T82" s="48"/>
      <c r="U82" s="48">
        <v>0</v>
      </c>
      <c r="V82" s="48"/>
      <c r="W82" s="48">
        <v>0</v>
      </c>
      <c r="X82" s="48"/>
      <c r="Y82" s="48">
        <v>0</v>
      </c>
      <c r="Z82" s="48"/>
      <c r="AA82" s="48">
        <v>0</v>
      </c>
      <c r="AB82" s="48"/>
      <c r="AC82" s="48">
        <v>0</v>
      </c>
      <c r="AD82" s="48"/>
      <c r="AE82" s="48">
        <f t="shared" si="4"/>
        <v>296491</v>
      </c>
      <c r="AF82" s="48"/>
      <c r="AG82" s="59"/>
      <c r="AH82" s="59"/>
      <c r="AI82" s="59"/>
      <c r="AJ82" s="59"/>
      <c r="AK82" s="59"/>
      <c r="AL82" s="8">
        <f>+'Gen Rev'!AI82-'Gen Exp'!AE82+'Gen Exp'!AI82-AK82</f>
        <v>18113</v>
      </c>
      <c r="AM82" s="21" t="str">
        <f>'Gen Rev'!A82</f>
        <v>Bradford</v>
      </c>
      <c r="AN82" s="67" t="str">
        <f t="shared" si="5"/>
        <v>Bradford</v>
      </c>
      <c r="AO82" s="67" t="b">
        <f t="shared" si="6"/>
        <v>1</v>
      </c>
    </row>
    <row r="83" spans="1:41" ht="12" customHeight="1" x14ac:dyDescent="0.2">
      <c r="A83" s="1" t="s">
        <v>763</v>
      </c>
      <c r="C83" s="1" t="s">
        <v>241</v>
      </c>
      <c r="D83" s="67"/>
      <c r="E83" s="48">
        <v>101110</v>
      </c>
      <c r="F83" s="48"/>
      <c r="G83" s="48">
        <v>0</v>
      </c>
      <c r="H83" s="48"/>
      <c r="I83" s="48">
        <v>0</v>
      </c>
      <c r="J83" s="48"/>
      <c r="K83" s="48">
        <v>2823</v>
      </c>
      <c r="L83" s="48"/>
      <c r="M83" s="48">
        <v>0</v>
      </c>
      <c r="N83" s="48"/>
      <c r="O83" s="48">
        <v>0</v>
      </c>
      <c r="P83" s="48"/>
      <c r="Q83" s="48">
        <f>59015+9834+15016</f>
        <v>83865</v>
      </c>
      <c r="R83" s="48"/>
      <c r="S83" s="48">
        <v>0</v>
      </c>
      <c r="T83" s="48"/>
      <c r="U83" s="48">
        <v>0</v>
      </c>
      <c r="V83" s="48"/>
      <c r="W83" s="48">
        <v>0</v>
      </c>
      <c r="X83" s="48"/>
      <c r="Y83" s="48">
        <v>2920</v>
      </c>
      <c r="Z83" s="48"/>
      <c r="AA83" s="48">
        <v>0</v>
      </c>
      <c r="AB83" s="48"/>
      <c r="AC83" s="48">
        <v>0</v>
      </c>
      <c r="AD83" s="48"/>
      <c r="AE83" s="48">
        <f t="shared" si="4"/>
        <v>190718</v>
      </c>
      <c r="AF83" s="48"/>
      <c r="AG83" s="59"/>
      <c r="AH83" s="59"/>
      <c r="AI83" s="59"/>
      <c r="AJ83" s="59"/>
      <c r="AK83" s="59"/>
      <c r="AL83" s="8">
        <f>+'Gen Rev'!AI83-'Gen Exp'!AE83+'Gen Exp'!AI83-AK83</f>
        <v>-1938</v>
      </c>
      <c r="AM83" s="21" t="str">
        <f>'Gen Rev'!A83</f>
        <v>Bradner</v>
      </c>
      <c r="AN83" s="67" t="str">
        <f t="shared" si="5"/>
        <v>Brady Lake</v>
      </c>
      <c r="AO83" s="67" t="b">
        <f t="shared" si="6"/>
        <v>0</v>
      </c>
    </row>
    <row r="84" spans="1:41" s="67" customFormat="1" ht="12" customHeight="1" x14ac:dyDescent="0.2">
      <c r="A84" s="1" t="s">
        <v>294</v>
      </c>
      <c r="B84" s="1"/>
      <c r="C84" s="1" t="s">
        <v>293</v>
      </c>
      <c r="D84" s="1"/>
      <c r="E84" s="48">
        <v>1776928.06</v>
      </c>
      <c r="F84" s="48"/>
      <c r="G84" s="48">
        <v>0</v>
      </c>
      <c r="H84" s="48"/>
      <c r="I84" s="48">
        <v>4220.5200000000004</v>
      </c>
      <c r="J84" s="48"/>
      <c r="K84" s="48">
        <v>98924.77</v>
      </c>
      <c r="L84" s="48"/>
      <c r="M84" s="48">
        <v>0</v>
      </c>
      <c r="N84" s="48"/>
      <c r="O84" s="48">
        <v>483885.08</v>
      </c>
      <c r="P84" s="48"/>
      <c r="Q84" s="48">
        <v>825589.78</v>
      </c>
      <c r="R84" s="48"/>
      <c r="S84" s="48">
        <v>98410.79</v>
      </c>
      <c r="T84" s="48"/>
      <c r="U84" s="48">
        <v>0</v>
      </c>
      <c r="V84" s="48"/>
      <c r="W84" s="48">
        <v>0</v>
      </c>
      <c r="X84" s="48"/>
      <c r="Y84" s="48">
        <v>507249.57</v>
      </c>
      <c r="Z84" s="48"/>
      <c r="AA84" s="48">
        <v>0</v>
      </c>
      <c r="AB84" s="48"/>
      <c r="AC84" s="48">
        <v>74671.14</v>
      </c>
      <c r="AD84" s="48"/>
      <c r="AE84" s="48">
        <f t="shared" si="4"/>
        <v>3869879.71</v>
      </c>
      <c r="AF84" s="1"/>
      <c r="AG84" s="55">
        <v>145429.97</v>
      </c>
      <c r="AH84" s="55"/>
      <c r="AI84" s="55">
        <v>1098740.44</v>
      </c>
      <c r="AJ84" s="55"/>
      <c r="AK84" s="55">
        <v>1244170.4099999999</v>
      </c>
      <c r="AL84" s="8">
        <f>+'Gen Rev'!AI84-'Gen Exp'!AE84+'Gen Exp'!AI84-AK84</f>
        <v>-3815005.6799999997</v>
      </c>
      <c r="AM84" s="21" t="str">
        <f>'Gen Rev'!A84</f>
        <v>Brady Lake</v>
      </c>
      <c r="AN84" s="67" t="str">
        <f t="shared" si="5"/>
        <v>Bratenahl</v>
      </c>
      <c r="AO84" s="67" t="b">
        <f t="shared" si="6"/>
        <v>0</v>
      </c>
    </row>
    <row r="85" spans="1:41" s="6" customFormat="1" ht="12" customHeight="1" x14ac:dyDescent="0.2">
      <c r="A85" s="1" t="s">
        <v>294</v>
      </c>
      <c r="B85" s="1"/>
      <c r="C85" s="1" t="s">
        <v>686</v>
      </c>
      <c r="E85" s="48">
        <v>87212</v>
      </c>
      <c r="F85" s="48"/>
      <c r="G85" s="48">
        <v>0</v>
      </c>
      <c r="H85" s="48"/>
      <c r="I85" s="48">
        <v>0</v>
      </c>
      <c r="J85" s="48"/>
      <c r="K85" s="48">
        <v>5988</v>
      </c>
      <c r="L85" s="48"/>
      <c r="M85" s="48">
        <v>24166</v>
      </c>
      <c r="N85" s="48"/>
      <c r="O85" s="48">
        <v>18537</v>
      </c>
      <c r="P85" s="48"/>
      <c r="Q85" s="48">
        <v>120355</v>
      </c>
      <c r="R85" s="48"/>
      <c r="S85" s="48">
        <v>0</v>
      </c>
      <c r="T85" s="48"/>
      <c r="U85" s="48">
        <v>0</v>
      </c>
      <c r="V85" s="48"/>
      <c r="W85" s="48">
        <v>0</v>
      </c>
      <c r="X85" s="48"/>
      <c r="Y85" s="48">
        <v>4355</v>
      </c>
      <c r="Z85" s="48"/>
      <c r="AA85" s="48">
        <v>0</v>
      </c>
      <c r="AB85" s="48"/>
      <c r="AC85" s="48">
        <v>0</v>
      </c>
      <c r="AD85" s="48"/>
      <c r="AE85" s="48">
        <f t="shared" si="4"/>
        <v>260613</v>
      </c>
      <c r="AF85" s="48"/>
      <c r="AG85" s="59"/>
      <c r="AH85" s="59"/>
      <c r="AI85" s="59"/>
      <c r="AJ85" s="59"/>
      <c r="AK85" s="59"/>
      <c r="AL85" s="8">
        <f>+'Gen Rev'!AI85-'Gen Exp'!AE85+'Gen Exp'!AI85-AK85</f>
        <v>3754696.68</v>
      </c>
      <c r="AM85" s="21" t="str">
        <f>'Gen Rev'!A85</f>
        <v>Bratenahl</v>
      </c>
      <c r="AN85" s="67" t="str">
        <f t="shared" si="5"/>
        <v>Bratenahl</v>
      </c>
      <c r="AO85" s="67" t="b">
        <f t="shared" si="6"/>
        <v>1</v>
      </c>
    </row>
    <row r="86" spans="1:41" ht="12" customHeight="1" x14ac:dyDescent="0.2">
      <c r="A86" s="1" t="s">
        <v>56</v>
      </c>
      <c r="C86" s="1" t="s">
        <v>327</v>
      </c>
      <c r="E86" s="48">
        <v>80298.36</v>
      </c>
      <c r="F86" s="48"/>
      <c r="G86" s="48">
        <v>0</v>
      </c>
      <c r="H86" s="48"/>
      <c r="I86" s="48">
        <v>48878.2</v>
      </c>
      <c r="J86" s="48"/>
      <c r="K86" s="48">
        <v>4113.29</v>
      </c>
      <c r="L86" s="48"/>
      <c r="M86" s="48">
        <v>0</v>
      </c>
      <c r="N86" s="48"/>
      <c r="O86" s="48">
        <v>22115</v>
      </c>
      <c r="P86" s="48"/>
      <c r="Q86" s="48">
        <v>138101.53</v>
      </c>
      <c r="R86" s="48"/>
      <c r="S86" s="48">
        <v>0</v>
      </c>
      <c r="T86" s="48"/>
      <c r="U86" s="48">
        <v>0</v>
      </c>
      <c r="V86" s="48"/>
      <c r="W86" s="48">
        <v>0</v>
      </c>
      <c r="X86" s="48"/>
      <c r="Y86" s="48">
        <v>194094.04</v>
      </c>
      <c r="Z86" s="48"/>
      <c r="AA86" s="48">
        <v>0</v>
      </c>
      <c r="AB86" s="48"/>
      <c r="AC86" s="48">
        <v>0</v>
      </c>
      <c r="AD86" s="48"/>
      <c r="AE86" s="48">
        <f t="shared" si="4"/>
        <v>487600.42000000004</v>
      </c>
      <c r="AG86" s="55">
        <v>-21960.7</v>
      </c>
      <c r="AI86" s="55">
        <v>302451.82</v>
      </c>
      <c r="AK86" s="55">
        <v>280491.12</v>
      </c>
      <c r="AL86" s="8">
        <f>+'Gen Rev'!AI86-'Gen Exp'!AE86+'Gen Exp'!AI86-AK86</f>
        <v>0</v>
      </c>
      <c r="AM86" s="21" t="str">
        <f>'Gen Rev'!A86</f>
        <v>Bremen</v>
      </c>
      <c r="AN86" s="67" t="str">
        <f t="shared" si="5"/>
        <v>Bremen</v>
      </c>
      <c r="AO86" s="67" t="b">
        <f t="shared" si="6"/>
        <v>1</v>
      </c>
    </row>
    <row r="87" spans="1:41" ht="12" customHeight="1" x14ac:dyDescent="0.2">
      <c r="A87" s="1" t="s">
        <v>503</v>
      </c>
      <c r="C87" s="1" t="s">
        <v>502</v>
      </c>
      <c r="E87" s="48">
        <v>470784</v>
      </c>
      <c r="F87" s="48"/>
      <c r="G87" s="48">
        <v>8025</v>
      </c>
      <c r="H87" s="48"/>
      <c r="I87" s="48">
        <v>0</v>
      </c>
      <c r="J87" s="48"/>
      <c r="K87" s="48">
        <v>2458</v>
      </c>
      <c r="L87" s="48"/>
      <c r="M87" s="48">
        <v>6640</v>
      </c>
      <c r="N87" s="48"/>
      <c r="O87" s="48">
        <v>14077</v>
      </c>
      <c r="P87" s="48"/>
      <c r="Q87" s="48">
        <v>206342</v>
      </c>
      <c r="R87" s="48"/>
      <c r="S87" s="48">
        <v>11766</v>
      </c>
      <c r="T87" s="48"/>
      <c r="U87" s="48">
        <v>0</v>
      </c>
      <c r="V87" s="48"/>
      <c r="W87" s="48">
        <v>0</v>
      </c>
      <c r="X87" s="48"/>
      <c r="Y87" s="48">
        <v>228549</v>
      </c>
      <c r="Z87" s="48"/>
      <c r="AA87" s="48">
        <v>0</v>
      </c>
      <c r="AB87" s="48"/>
      <c r="AC87" s="48">
        <v>11240</v>
      </c>
      <c r="AD87" s="48"/>
      <c r="AE87" s="48">
        <f t="shared" si="4"/>
        <v>959881</v>
      </c>
      <c r="AF87" s="48"/>
      <c r="AG87" s="59"/>
      <c r="AH87" s="59"/>
      <c r="AI87" s="59"/>
      <c r="AJ87" s="59"/>
      <c r="AK87" s="59"/>
      <c r="AL87" s="8">
        <f>+'Gen Rev'!AI87-'Gen Exp'!AE87+'Gen Exp'!AI87-AK87</f>
        <v>21014</v>
      </c>
      <c r="AM87" s="21" t="str">
        <f>'Gen Rev'!A87</f>
        <v>Brewster</v>
      </c>
      <c r="AN87" s="67" t="str">
        <f t="shared" si="5"/>
        <v>Brewster</v>
      </c>
      <c r="AO87" s="67" t="b">
        <f t="shared" si="6"/>
        <v>1</v>
      </c>
    </row>
    <row r="88" spans="1:41" ht="12" customHeight="1" x14ac:dyDescent="0.2">
      <c r="A88" s="1" t="s">
        <v>67</v>
      </c>
      <c r="C88" s="1" t="s">
        <v>329</v>
      </c>
      <c r="E88" s="48">
        <v>158873.4</v>
      </c>
      <c r="F88" s="48"/>
      <c r="G88" s="48">
        <v>0</v>
      </c>
      <c r="H88" s="48"/>
      <c r="I88" s="48">
        <v>0</v>
      </c>
      <c r="J88" s="48"/>
      <c r="K88" s="48">
        <v>0</v>
      </c>
      <c r="L88" s="48"/>
      <c r="M88" s="48">
        <v>881.61</v>
      </c>
      <c r="N88" s="48"/>
      <c r="O88" s="48">
        <v>0</v>
      </c>
      <c r="P88" s="48"/>
      <c r="Q88" s="48">
        <v>136170.23000000001</v>
      </c>
      <c r="R88" s="48"/>
      <c r="S88" s="48">
        <v>0</v>
      </c>
      <c r="T88" s="48"/>
      <c r="U88" s="48">
        <v>1800</v>
      </c>
      <c r="V88" s="48"/>
      <c r="W88" s="48">
        <v>1175.98</v>
      </c>
      <c r="X88" s="48"/>
      <c r="Y88" s="48">
        <v>0</v>
      </c>
      <c r="Z88" s="48"/>
      <c r="AA88" s="48">
        <v>0</v>
      </c>
      <c r="AB88" s="48"/>
      <c r="AC88" s="48">
        <v>0</v>
      </c>
      <c r="AD88" s="48"/>
      <c r="AE88" s="48">
        <f t="shared" si="4"/>
        <v>298901.21999999997</v>
      </c>
      <c r="AG88" s="55">
        <v>-2686.39</v>
      </c>
      <c r="AI88" s="55">
        <v>8155.45</v>
      </c>
      <c r="AK88" s="55">
        <v>5469.06</v>
      </c>
      <c r="AL88" s="8">
        <f>+'Gen Rev'!AI88-'Gen Exp'!AE88+'Gen Exp'!AI88-AK88</f>
        <v>-1.4551915228366852E-11</v>
      </c>
      <c r="AM88" s="21" t="str">
        <f>'Gen Rev'!A88</f>
        <v>Brice</v>
      </c>
      <c r="AN88" s="67" t="str">
        <f t="shared" si="5"/>
        <v>Brice</v>
      </c>
      <c r="AO88" s="67" t="b">
        <f t="shared" si="6"/>
        <v>1</v>
      </c>
    </row>
    <row r="89" spans="1:41" ht="12" customHeight="1" x14ac:dyDescent="0.2">
      <c r="A89" s="1" t="s">
        <v>263</v>
      </c>
      <c r="C89" s="1" t="s">
        <v>261</v>
      </c>
      <c r="E89" s="48">
        <v>300948.5</v>
      </c>
      <c r="F89" s="48"/>
      <c r="G89" s="48">
        <v>5283.82</v>
      </c>
      <c r="H89" s="48"/>
      <c r="I89" s="48">
        <v>1487.43</v>
      </c>
      <c r="J89" s="48"/>
      <c r="K89" s="48">
        <v>0</v>
      </c>
      <c r="L89" s="48"/>
      <c r="M89" s="48">
        <v>94913.55</v>
      </c>
      <c r="N89" s="48"/>
      <c r="O89" s="48">
        <v>0</v>
      </c>
      <c r="P89" s="48"/>
      <c r="Q89" s="48">
        <v>128599.09</v>
      </c>
      <c r="R89" s="48"/>
      <c r="S89" s="48">
        <v>0</v>
      </c>
      <c r="T89" s="48"/>
      <c r="U89" s="48">
        <v>40193.47</v>
      </c>
      <c r="V89" s="48"/>
      <c r="W89" s="48">
        <v>3328.37</v>
      </c>
      <c r="X89" s="48"/>
      <c r="Y89" s="48">
        <v>0</v>
      </c>
      <c r="Z89" s="48"/>
      <c r="AA89" s="48">
        <v>29334.82</v>
      </c>
      <c r="AB89" s="48"/>
      <c r="AC89" s="48">
        <v>0</v>
      </c>
      <c r="AD89" s="48"/>
      <c r="AE89" s="48">
        <f t="shared" si="4"/>
        <v>604089.04999999993</v>
      </c>
      <c r="AG89" s="55">
        <v>53990.99</v>
      </c>
      <c r="AI89" s="55">
        <v>289854.59000000003</v>
      </c>
      <c r="AK89" s="55">
        <v>343845.58</v>
      </c>
      <c r="AL89" s="8">
        <f>+'Gen Rev'!AI89-'Gen Exp'!AE89+'Gen Exp'!AI89-AK89</f>
        <v>0</v>
      </c>
      <c r="AM89" s="21" t="str">
        <f>'Gen Rev'!A89</f>
        <v>Bridgeport</v>
      </c>
      <c r="AN89" s="67" t="str">
        <f t="shared" si="5"/>
        <v>Bridgeport</v>
      </c>
      <c r="AO89" s="67" t="b">
        <f t="shared" si="6"/>
        <v>1</v>
      </c>
    </row>
    <row r="90" spans="1:41" s="67" customFormat="1" ht="12" customHeight="1" x14ac:dyDescent="0.2">
      <c r="A90" s="1" t="s">
        <v>295</v>
      </c>
      <c r="B90" s="1"/>
      <c r="C90" s="1" t="s">
        <v>293</v>
      </c>
      <c r="D90" s="1"/>
      <c r="E90" s="48">
        <v>2842851</v>
      </c>
      <c r="F90" s="48"/>
      <c r="G90" s="48">
        <v>222764</v>
      </c>
      <c r="H90" s="48"/>
      <c r="I90" s="48">
        <v>101901</v>
      </c>
      <c r="J90" s="48"/>
      <c r="K90" s="48">
        <v>42929</v>
      </c>
      <c r="L90" s="48"/>
      <c r="M90" s="48">
        <v>85126</v>
      </c>
      <c r="N90" s="48"/>
      <c r="O90" s="48">
        <v>565550</v>
      </c>
      <c r="P90" s="48"/>
      <c r="Q90" s="48">
        <v>1409724</v>
      </c>
      <c r="R90" s="48"/>
      <c r="S90" s="48">
        <v>0</v>
      </c>
      <c r="T90" s="48"/>
      <c r="U90" s="48">
        <v>0</v>
      </c>
      <c r="V90" s="48"/>
      <c r="W90" s="48">
        <v>0</v>
      </c>
      <c r="X90" s="48"/>
      <c r="Y90" s="48">
        <v>40000</v>
      </c>
      <c r="Z90" s="48"/>
      <c r="AA90" s="48">
        <v>0</v>
      </c>
      <c r="AB90" s="48"/>
      <c r="AC90" s="48">
        <v>0</v>
      </c>
      <c r="AD90" s="48"/>
      <c r="AE90" s="48">
        <f t="shared" si="4"/>
        <v>5310845</v>
      </c>
      <c r="AF90" s="48"/>
      <c r="AG90" s="59"/>
      <c r="AH90" s="59"/>
      <c r="AI90" s="59"/>
      <c r="AJ90" s="59"/>
      <c r="AK90" s="59"/>
      <c r="AL90" s="8">
        <f>+'Gen Rev'!AI90-'Gen Exp'!AE90+'Gen Exp'!AI90-AK90</f>
        <v>13260</v>
      </c>
      <c r="AM90" s="21" t="str">
        <f>'Gen Rev'!A90</f>
        <v>Brooklyn Heights</v>
      </c>
      <c r="AN90" s="67" t="str">
        <f t="shared" si="5"/>
        <v>Brooklyn Heights</v>
      </c>
      <c r="AO90" s="67" t="b">
        <f t="shared" si="6"/>
        <v>1</v>
      </c>
    </row>
    <row r="91" spans="1:41" ht="12" customHeight="1" x14ac:dyDescent="0.2">
      <c r="A91" s="1" t="s">
        <v>16</v>
      </c>
      <c r="C91" s="1" t="s">
        <v>261</v>
      </c>
      <c r="E91" s="48">
        <v>31193.41</v>
      </c>
      <c r="F91" s="48"/>
      <c r="G91" s="48">
        <v>3523.56</v>
      </c>
      <c r="H91" s="48"/>
      <c r="I91" s="48">
        <v>444.6</v>
      </c>
      <c r="J91" s="48"/>
      <c r="K91" s="48">
        <v>0</v>
      </c>
      <c r="L91" s="48"/>
      <c r="M91" s="48">
        <v>0</v>
      </c>
      <c r="N91" s="48"/>
      <c r="O91" s="48">
        <v>1000</v>
      </c>
      <c r="P91" s="48"/>
      <c r="Q91" s="48">
        <v>51046.21</v>
      </c>
      <c r="R91" s="48"/>
      <c r="S91" s="48">
        <v>0</v>
      </c>
      <c r="T91" s="48"/>
      <c r="U91" s="48">
        <v>0</v>
      </c>
      <c r="V91" s="48"/>
      <c r="W91" s="48">
        <v>8116.66</v>
      </c>
      <c r="X91" s="48"/>
      <c r="Y91" s="48">
        <v>0</v>
      </c>
      <c r="Z91" s="48"/>
      <c r="AA91" s="48">
        <v>0</v>
      </c>
      <c r="AB91" s="48"/>
      <c r="AC91" s="48">
        <v>0</v>
      </c>
      <c r="AD91" s="48"/>
      <c r="AE91" s="48">
        <f t="shared" ref="AE91:AE126" si="7">SUM(E91:AC91)</f>
        <v>95324.44</v>
      </c>
      <c r="AG91" s="55">
        <v>-6168.47</v>
      </c>
      <c r="AI91" s="55">
        <v>13879.55</v>
      </c>
      <c r="AK91" s="55">
        <v>7711.08</v>
      </c>
      <c r="AL91" s="8">
        <f>+'Gen Rev'!AI91-'Gen Exp'!AE91+'Gen Exp'!AI91-AK91</f>
        <v>0</v>
      </c>
      <c r="AM91" s="21" t="str">
        <f>'Gen Rev'!A91</f>
        <v>Brookside</v>
      </c>
      <c r="AN91" s="67" t="str">
        <f t="shared" si="5"/>
        <v>Brookside</v>
      </c>
      <c r="AO91" s="67" t="b">
        <f t="shared" si="6"/>
        <v>1</v>
      </c>
    </row>
    <row r="92" spans="1:41" s="67" customFormat="1" ht="12" customHeight="1" x14ac:dyDescent="0.2">
      <c r="A92" s="1" t="s">
        <v>461</v>
      </c>
      <c r="B92" s="1"/>
      <c r="C92" s="1" t="s">
        <v>460</v>
      </c>
      <c r="D92" s="1"/>
      <c r="E92" s="48">
        <v>362.07</v>
      </c>
      <c r="F92" s="48"/>
      <c r="G92" s="48">
        <v>13.2</v>
      </c>
      <c r="H92" s="48"/>
      <c r="I92" s="48">
        <v>0</v>
      </c>
      <c r="J92" s="48"/>
      <c r="K92" s="48">
        <v>0</v>
      </c>
      <c r="L92" s="48"/>
      <c r="M92" s="48">
        <v>1443.35</v>
      </c>
      <c r="N92" s="48"/>
      <c r="O92" s="48">
        <v>491.5</v>
      </c>
      <c r="P92" s="48"/>
      <c r="Q92" s="48">
        <v>6460.76</v>
      </c>
      <c r="R92" s="48"/>
      <c r="S92" s="48">
        <v>0</v>
      </c>
      <c r="T92" s="48"/>
      <c r="U92" s="48">
        <v>0</v>
      </c>
      <c r="V92" s="48"/>
      <c r="W92" s="48">
        <v>0</v>
      </c>
      <c r="X92" s="48"/>
      <c r="Y92" s="48">
        <v>0</v>
      </c>
      <c r="Z92" s="48"/>
      <c r="AA92" s="48">
        <v>0</v>
      </c>
      <c r="AB92" s="48"/>
      <c r="AC92" s="48">
        <v>455.55</v>
      </c>
      <c r="AD92" s="48"/>
      <c r="AE92" s="48">
        <f t="shared" si="7"/>
        <v>9226.43</v>
      </c>
      <c r="AF92" s="1"/>
      <c r="AG92" s="55">
        <v>1916.28</v>
      </c>
      <c r="AH92" s="55"/>
      <c r="AI92" s="55">
        <v>20502.68</v>
      </c>
      <c r="AJ92" s="55"/>
      <c r="AK92" s="55">
        <v>22418.959999999999</v>
      </c>
      <c r="AL92" s="8">
        <f>+'Gen Rev'!AI92-'Gen Exp'!AE92+'Gen Exp'!AI92-AK92</f>
        <v>0</v>
      </c>
      <c r="AM92" s="21" t="str">
        <f>'Gen Rev'!A92</f>
        <v>Broughton</v>
      </c>
      <c r="AN92" s="67" t="str">
        <f t="shared" si="5"/>
        <v>Broughton</v>
      </c>
      <c r="AO92" s="67" t="b">
        <f t="shared" si="6"/>
        <v>1</v>
      </c>
    </row>
    <row r="93" spans="1:41" s="67" customFormat="1" ht="12" customHeight="1" x14ac:dyDescent="0.2">
      <c r="A93" s="1" t="s">
        <v>254</v>
      </c>
      <c r="B93" s="1"/>
      <c r="C93" s="1" t="s">
        <v>253</v>
      </c>
      <c r="E93" s="48">
        <v>21840</v>
      </c>
      <c r="F93" s="48"/>
      <c r="G93" s="48">
        <v>0</v>
      </c>
      <c r="H93" s="48"/>
      <c r="I93" s="48">
        <v>0</v>
      </c>
      <c r="J93" s="48"/>
      <c r="K93" s="48">
        <v>0</v>
      </c>
      <c r="L93" s="48"/>
      <c r="M93" s="48">
        <v>8197</v>
      </c>
      <c r="N93" s="48"/>
      <c r="O93" s="48">
        <v>0</v>
      </c>
      <c r="P93" s="48"/>
      <c r="Q93" s="48">
        <v>72868</v>
      </c>
      <c r="R93" s="48"/>
      <c r="S93" s="48">
        <v>0</v>
      </c>
      <c r="T93" s="48"/>
      <c r="U93" s="48">
        <v>0</v>
      </c>
      <c r="V93" s="48"/>
      <c r="W93" s="48">
        <v>0</v>
      </c>
      <c r="X93" s="48"/>
      <c r="Y93" s="48">
        <v>0</v>
      </c>
      <c r="Z93" s="48"/>
      <c r="AA93" s="48">
        <v>0</v>
      </c>
      <c r="AB93" s="48"/>
      <c r="AC93" s="48">
        <v>0</v>
      </c>
      <c r="AD93" s="48"/>
      <c r="AE93" s="48">
        <f t="shared" si="7"/>
        <v>102905</v>
      </c>
      <c r="AF93" s="48"/>
      <c r="AG93" s="59"/>
      <c r="AH93" s="59"/>
      <c r="AI93" s="59"/>
      <c r="AJ93" s="59"/>
      <c r="AK93" s="59"/>
      <c r="AL93" s="8">
        <f>+'Gen Rev'!AI93-'Gen Exp'!AE93+'Gen Exp'!AI93-AK93</f>
        <v>-13132</v>
      </c>
      <c r="AM93" s="21" t="str">
        <f>'Gen Rev'!A93</f>
        <v>Buchtel</v>
      </c>
      <c r="AN93" s="67" t="str">
        <f t="shared" si="5"/>
        <v>Buchtel</v>
      </c>
      <c r="AO93" s="67" t="b">
        <f t="shared" si="6"/>
        <v>1</v>
      </c>
    </row>
    <row r="94" spans="1:41" s="8" customFormat="1" ht="12" customHeight="1" x14ac:dyDescent="0.2">
      <c r="A94" s="1" t="s">
        <v>122</v>
      </c>
      <c r="B94" s="1"/>
      <c r="C94" s="1" t="s">
        <v>408</v>
      </c>
      <c r="D94" s="1"/>
      <c r="E94" s="48">
        <v>0</v>
      </c>
      <c r="F94" s="48"/>
      <c r="G94" s="48">
        <v>9446.26</v>
      </c>
      <c r="H94" s="48"/>
      <c r="I94" s="48">
        <v>3665.71</v>
      </c>
      <c r="J94" s="48"/>
      <c r="K94" s="48">
        <v>63395.29</v>
      </c>
      <c r="L94" s="48"/>
      <c r="M94" s="48">
        <v>0</v>
      </c>
      <c r="N94" s="48"/>
      <c r="O94" s="48">
        <v>13977.14</v>
      </c>
      <c r="P94" s="48"/>
      <c r="Q94" s="48">
        <v>161277.88</v>
      </c>
      <c r="R94" s="48"/>
      <c r="S94" s="48">
        <v>34671</v>
      </c>
      <c r="T94" s="48"/>
      <c r="U94" s="48">
        <v>0</v>
      </c>
      <c r="V94" s="48"/>
      <c r="W94" s="48">
        <v>0</v>
      </c>
      <c r="X94" s="48"/>
      <c r="Y94" s="48">
        <v>116500</v>
      </c>
      <c r="Z94" s="48"/>
      <c r="AA94" s="48">
        <v>0</v>
      </c>
      <c r="AB94" s="48"/>
      <c r="AC94" s="48">
        <v>0</v>
      </c>
      <c r="AD94" s="48"/>
      <c r="AE94" s="48">
        <f t="shared" si="7"/>
        <v>402933.28</v>
      </c>
      <c r="AF94" s="1"/>
      <c r="AG94" s="55">
        <v>-48575.1</v>
      </c>
      <c r="AH94" s="55"/>
      <c r="AI94" s="55">
        <v>124079.25</v>
      </c>
      <c r="AJ94" s="55"/>
      <c r="AK94" s="55">
        <v>75504.149999999994</v>
      </c>
      <c r="AL94" s="8">
        <f>+'Gen Rev'!AI94-'Gen Exp'!AE94+'Gen Exp'!AI94-AK94</f>
        <v>0</v>
      </c>
      <c r="AM94" s="21" t="str">
        <f>'Gen Rev'!A94</f>
        <v>Buckeye Lake</v>
      </c>
      <c r="AN94" s="67" t="str">
        <f t="shared" si="5"/>
        <v>Buckeye Lake</v>
      </c>
      <c r="AO94" s="67" t="b">
        <f t="shared" si="6"/>
        <v>1</v>
      </c>
    </row>
    <row r="95" spans="1:41" s="67" customFormat="1" ht="12" customHeight="1" x14ac:dyDescent="0.2">
      <c r="A95" s="1" t="s">
        <v>11</v>
      </c>
      <c r="B95" s="1"/>
      <c r="C95" s="1" t="s">
        <v>257</v>
      </c>
      <c r="D95" s="1"/>
      <c r="E95" s="48">
        <v>19591.09</v>
      </c>
      <c r="F95" s="48"/>
      <c r="G95" s="48">
        <v>0</v>
      </c>
      <c r="H95" s="48"/>
      <c r="I95" s="48">
        <v>9205.7900000000009</v>
      </c>
      <c r="J95" s="48"/>
      <c r="K95" s="48">
        <v>0</v>
      </c>
      <c r="L95" s="48"/>
      <c r="M95" s="48">
        <v>0</v>
      </c>
      <c r="N95" s="48"/>
      <c r="O95" s="48">
        <v>0</v>
      </c>
      <c r="P95" s="48"/>
      <c r="Q95" s="48">
        <v>38857.910000000003</v>
      </c>
      <c r="R95" s="48"/>
      <c r="S95" s="48">
        <v>0</v>
      </c>
      <c r="T95" s="48"/>
      <c r="U95" s="48">
        <v>0</v>
      </c>
      <c r="V95" s="48"/>
      <c r="W95" s="48">
        <v>0</v>
      </c>
      <c r="X95" s="48"/>
      <c r="Y95" s="48">
        <v>0</v>
      </c>
      <c r="Z95" s="48"/>
      <c r="AA95" s="48">
        <v>0</v>
      </c>
      <c r="AB95" s="48"/>
      <c r="AC95" s="48">
        <v>0</v>
      </c>
      <c r="AD95" s="48"/>
      <c r="AE95" s="48">
        <f t="shared" si="7"/>
        <v>67654.790000000008</v>
      </c>
      <c r="AF95" s="1"/>
      <c r="AG95" s="55">
        <v>-27385.52</v>
      </c>
      <c r="AH95" s="55"/>
      <c r="AI95" s="55">
        <v>29470.25</v>
      </c>
      <c r="AJ95" s="55"/>
      <c r="AK95" s="55">
        <v>2084.73</v>
      </c>
      <c r="AL95" s="8">
        <f>+'Gen Rev'!AI95-'Gen Exp'!AE95+'Gen Exp'!AI95-AK95</f>
        <v>-4.0927261579781771E-12</v>
      </c>
      <c r="AM95" s="21" t="str">
        <f>'Gen Rev'!A95</f>
        <v>Buckland</v>
      </c>
      <c r="AN95" s="67" t="str">
        <f t="shared" si="5"/>
        <v>Buckland</v>
      </c>
      <c r="AO95" s="67" t="b">
        <f t="shared" si="6"/>
        <v>1</v>
      </c>
    </row>
    <row r="96" spans="1:41" s="67" customFormat="1" ht="12" customHeight="1" x14ac:dyDescent="0.2">
      <c r="A96" s="1" t="s">
        <v>231</v>
      </c>
      <c r="B96" s="1"/>
      <c r="C96" s="1" t="s">
        <v>547</v>
      </c>
      <c r="D96" s="1"/>
      <c r="E96" s="48">
        <v>0</v>
      </c>
      <c r="F96" s="48"/>
      <c r="G96" s="48">
        <v>0</v>
      </c>
      <c r="H96" s="48"/>
      <c r="I96" s="48">
        <v>0</v>
      </c>
      <c r="J96" s="48"/>
      <c r="K96" s="48">
        <v>2078.16</v>
      </c>
      <c r="L96" s="48"/>
      <c r="M96" s="48">
        <v>5079.75</v>
      </c>
      <c r="N96" s="48"/>
      <c r="O96" s="48">
        <v>0</v>
      </c>
      <c r="P96" s="48"/>
      <c r="Q96" s="48">
        <v>28396.39</v>
      </c>
      <c r="R96" s="48"/>
      <c r="S96" s="48">
        <v>0</v>
      </c>
      <c r="T96" s="48"/>
      <c r="U96" s="48">
        <v>15000</v>
      </c>
      <c r="V96" s="48"/>
      <c r="W96" s="48">
        <v>0</v>
      </c>
      <c r="X96" s="48"/>
      <c r="Y96" s="48">
        <v>0</v>
      </c>
      <c r="Z96" s="48"/>
      <c r="AA96" s="48">
        <v>0</v>
      </c>
      <c r="AB96" s="48"/>
      <c r="AC96" s="48">
        <v>620.76</v>
      </c>
      <c r="AD96" s="48"/>
      <c r="AE96" s="48">
        <f t="shared" si="7"/>
        <v>51175.060000000005</v>
      </c>
      <c r="AF96" s="1"/>
      <c r="AG96" s="55">
        <v>4770.1400000000003</v>
      </c>
      <c r="AH96" s="55"/>
      <c r="AI96" s="55">
        <v>40740.99</v>
      </c>
      <c r="AJ96" s="55"/>
      <c r="AK96" s="55">
        <v>45511.13</v>
      </c>
      <c r="AL96" s="8">
        <f>+'Gen Rev'!AI96-'Gen Exp'!AE96+'Gen Exp'!AI96-AK96</f>
        <v>0</v>
      </c>
      <c r="AM96" s="21" t="str">
        <f>'Gen Rev'!A96</f>
        <v>Burbank</v>
      </c>
      <c r="AN96" s="67" t="str">
        <f t="shared" si="5"/>
        <v>Burbank</v>
      </c>
      <c r="AO96" s="67" t="b">
        <f t="shared" si="6"/>
        <v>1</v>
      </c>
    </row>
    <row r="97" spans="1:41" ht="12" customHeight="1" x14ac:dyDescent="0.2">
      <c r="A97" s="1" t="s">
        <v>486</v>
      </c>
      <c r="C97" s="1" t="s">
        <v>487</v>
      </c>
      <c r="E97" s="48">
        <v>3946.49</v>
      </c>
      <c r="F97" s="48"/>
      <c r="G97" s="48">
        <v>0</v>
      </c>
      <c r="H97" s="48"/>
      <c r="I97" s="48">
        <v>4650</v>
      </c>
      <c r="J97" s="48"/>
      <c r="K97" s="48">
        <v>0</v>
      </c>
      <c r="L97" s="48"/>
      <c r="M97" s="48">
        <v>8378.9</v>
      </c>
      <c r="N97" s="48"/>
      <c r="O97" s="48">
        <v>0</v>
      </c>
      <c r="P97" s="48"/>
      <c r="Q97" s="48">
        <v>13270.23</v>
      </c>
      <c r="R97" s="48"/>
      <c r="S97" s="48">
        <v>0</v>
      </c>
      <c r="T97" s="48"/>
      <c r="U97" s="48">
        <v>0</v>
      </c>
      <c r="V97" s="48"/>
      <c r="W97" s="48">
        <v>0</v>
      </c>
      <c r="X97" s="48"/>
      <c r="Y97" s="48">
        <v>0</v>
      </c>
      <c r="Z97" s="48"/>
      <c r="AA97" s="48">
        <v>0</v>
      </c>
      <c r="AB97" s="48"/>
      <c r="AC97" s="48">
        <v>4500</v>
      </c>
      <c r="AD97" s="48"/>
      <c r="AE97" s="48">
        <f t="shared" si="7"/>
        <v>34745.619999999995</v>
      </c>
      <c r="AG97" s="55">
        <v>-820.48</v>
      </c>
      <c r="AI97" s="55">
        <v>35438.9</v>
      </c>
      <c r="AK97" s="55">
        <v>34618.42</v>
      </c>
      <c r="AL97" s="8">
        <f>+'Gen Rev'!AI97-'Gen Exp'!AE97+'Gen Exp'!AI97-AK97</f>
        <v>0</v>
      </c>
      <c r="AM97" s="21" t="str">
        <f>'Gen Rev'!A97</f>
        <v>Burgoon</v>
      </c>
      <c r="AN97" s="67" t="str">
        <f t="shared" si="5"/>
        <v>Burgoon</v>
      </c>
      <c r="AO97" s="67" t="b">
        <f t="shared" si="6"/>
        <v>1</v>
      </c>
    </row>
    <row r="98" spans="1:41" ht="12" customHeight="1" x14ac:dyDescent="0.2">
      <c r="A98" s="1" t="s">
        <v>432</v>
      </c>
      <c r="C98" s="1" t="s">
        <v>647</v>
      </c>
      <c r="E98" s="48">
        <v>17188</v>
      </c>
      <c r="F98" s="48"/>
      <c r="G98" s="48">
        <v>1130</v>
      </c>
      <c r="H98" s="48"/>
      <c r="I98" s="48">
        <v>0</v>
      </c>
      <c r="J98" s="48"/>
      <c r="K98" s="48">
        <v>0</v>
      </c>
      <c r="L98" s="48"/>
      <c r="M98" s="48">
        <v>0</v>
      </c>
      <c r="N98" s="48"/>
      <c r="O98" s="48">
        <v>0</v>
      </c>
      <c r="P98" s="48"/>
      <c r="Q98" s="48">
        <v>15460</v>
      </c>
      <c r="R98" s="48"/>
      <c r="S98" s="48">
        <v>0</v>
      </c>
      <c r="T98" s="48"/>
      <c r="U98" s="48">
        <v>26414</v>
      </c>
      <c r="V98" s="48"/>
      <c r="W98" s="48">
        <v>0</v>
      </c>
      <c r="X98" s="48"/>
      <c r="Y98" s="48">
        <v>0</v>
      </c>
      <c r="Z98" s="48"/>
      <c r="AA98" s="48">
        <v>0</v>
      </c>
      <c r="AB98" s="48"/>
      <c r="AC98" s="48">
        <v>0</v>
      </c>
      <c r="AD98" s="48"/>
      <c r="AE98" s="48">
        <f t="shared" si="7"/>
        <v>60192</v>
      </c>
      <c r="AF98" s="48"/>
      <c r="AG98" s="59"/>
      <c r="AH98" s="59"/>
      <c r="AI98" s="59"/>
      <c r="AJ98" s="59"/>
      <c r="AK98" s="59"/>
      <c r="AL98" s="8">
        <f>+'Gen Rev'!AI98-'Gen Exp'!AE98+'Gen Exp'!AI98-AK98</f>
        <v>26729</v>
      </c>
      <c r="AM98" s="21" t="str">
        <f>'Gen Rev'!A98</f>
        <v>Burkettsville</v>
      </c>
      <c r="AN98" s="67" t="str">
        <f t="shared" si="5"/>
        <v>Burkettsville</v>
      </c>
      <c r="AO98" s="67" t="b">
        <f t="shared" si="6"/>
        <v>1</v>
      </c>
    </row>
    <row r="99" spans="1:41" s="67" customFormat="1" ht="12" customHeight="1" x14ac:dyDescent="0.2">
      <c r="A99" s="1" t="s">
        <v>634</v>
      </c>
      <c r="B99" s="1"/>
      <c r="C99" s="1" t="s">
        <v>342</v>
      </c>
      <c r="D99" s="1"/>
      <c r="E99" s="48">
        <v>0</v>
      </c>
      <c r="F99" s="48"/>
      <c r="G99" s="48">
        <v>0</v>
      </c>
      <c r="H99" s="48"/>
      <c r="I99" s="48">
        <v>32446</v>
      </c>
      <c r="J99" s="48"/>
      <c r="K99" s="48">
        <v>12992</v>
      </c>
      <c r="L99" s="48"/>
      <c r="M99" s="48">
        <v>0</v>
      </c>
      <c r="N99" s="48"/>
      <c r="O99" s="48">
        <v>0</v>
      </c>
      <c r="P99" s="48"/>
      <c r="Q99" s="48">
        <v>211512</v>
      </c>
      <c r="R99" s="48"/>
      <c r="S99" s="48">
        <v>0</v>
      </c>
      <c r="T99" s="48"/>
      <c r="U99" s="48">
        <v>0</v>
      </c>
      <c r="V99" s="48"/>
      <c r="W99" s="48">
        <v>0</v>
      </c>
      <c r="X99" s="48"/>
      <c r="Y99" s="48">
        <v>397665</v>
      </c>
      <c r="Z99" s="48"/>
      <c r="AA99" s="48">
        <v>389076</v>
      </c>
      <c r="AB99" s="48"/>
      <c r="AC99" s="48">
        <v>26879</v>
      </c>
      <c r="AD99" s="48"/>
      <c r="AE99" s="48">
        <f t="shared" si="7"/>
        <v>1070570</v>
      </c>
      <c r="AF99" s="48"/>
      <c r="AG99" s="59"/>
      <c r="AH99" s="59"/>
      <c r="AI99" s="59"/>
      <c r="AJ99" s="59"/>
      <c r="AK99" s="59"/>
      <c r="AL99" s="8">
        <f>+'Gen Rev'!AI99-'Gen Exp'!AE99+'Gen Exp'!AI99-AK99</f>
        <v>-131664</v>
      </c>
      <c r="AM99" s="21" t="str">
        <f>'Gen Rev'!A99</f>
        <v>Burton</v>
      </c>
      <c r="AN99" s="67" t="str">
        <f t="shared" si="5"/>
        <v>Burton</v>
      </c>
      <c r="AO99" s="67" t="b">
        <f t="shared" si="6"/>
        <v>1</v>
      </c>
    </row>
    <row r="100" spans="1:41" s="67" customFormat="1" ht="12" customHeight="1" x14ac:dyDescent="0.2">
      <c r="A100" s="1" t="s">
        <v>480</v>
      </c>
      <c r="B100" s="1"/>
      <c r="C100" s="1" t="s">
        <v>481</v>
      </c>
      <c r="D100" s="6"/>
      <c r="E100" s="48">
        <v>69320</v>
      </c>
      <c r="F100" s="48"/>
      <c r="G100" s="48">
        <v>0</v>
      </c>
      <c r="H100" s="48"/>
      <c r="I100" s="48">
        <v>0</v>
      </c>
      <c r="J100" s="48"/>
      <c r="K100" s="48">
        <v>3845</v>
      </c>
      <c r="L100" s="48"/>
      <c r="M100" s="48">
        <v>330539</v>
      </c>
      <c r="N100" s="48"/>
      <c r="O100" s="48">
        <v>86028</v>
      </c>
      <c r="P100" s="48"/>
      <c r="Q100" s="48">
        <v>17346</v>
      </c>
      <c r="R100" s="48"/>
      <c r="S100" s="48">
        <v>57574</v>
      </c>
      <c r="T100" s="48"/>
      <c r="U100" s="48">
        <v>0</v>
      </c>
      <c r="V100" s="48"/>
      <c r="W100" s="48">
        <v>0</v>
      </c>
      <c r="X100" s="48"/>
      <c r="Y100" s="48">
        <v>0</v>
      </c>
      <c r="Z100" s="48"/>
      <c r="AA100" s="48">
        <v>0</v>
      </c>
      <c r="AB100" s="48"/>
      <c r="AC100" s="48">
        <v>0</v>
      </c>
      <c r="AD100" s="48"/>
      <c r="AE100" s="48">
        <f t="shared" si="7"/>
        <v>564652</v>
      </c>
      <c r="AF100" s="48"/>
      <c r="AG100" s="59"/>
      <c r="AH100" s="59"/>
      <c r="AI100" s="59"/>
      <c r="AJ100" s="59"/>
      <c r="AK100" s="59"/>
      <c r="AL100" s="8">
        <f>+'Gen Rev'!AI100-'Gen Exp'!AE100+'Gen Exp'!AI100-AK100</f>
        <v>-12040</v>
      </c>
      <c r="AM100" s="21" t="str">
        <f>'Gen Rev'!A100</f>
        <v>Butler</v>
      </c>
      <c r="AN100" s="67" t="str">
        <f t="shared" si="5"/>
        <v>Butler</v>
      </c>
      <c r="AO100" s="67" t="b">
        <f t="shared" si="6"/>
        <v>1</v>
      </c>
    </row>
    <row r="101" spans="1:41" s="17" customFormat="1" ht="12" customHeight="1" x14ac:dyDescent="0.2">
      <c r="A101" s="1" t="s">
        <v>81</v>
      </c>
      <c r="B101" s="1"/>
      <c r="C101" s="1" t="s">
        <v>349</v>
      </c>
      <c r="D101" s="1"/>
      <c r="E101" s="48">
        <v>132266.71</v>
      </c>
      <c r="F101" s="48"/>
      <c r="G101" s="48">
        <v>0</v>
      </c>
      <c r="H101" s="48"/>
      <c r="I101" s="48">
        <v>0</v>
      </c>
      <c r="J101" s="48"/>
      <c r="K101" s="48">
        <v>0</v>
      </c>
      <c r="L101" s="48"/>
      <c r="M101" s="48">
        <v>54304.46</v>
      </c>
      <c r="N101" s="48"/>
      <c r="O101" s="48">
        <v>0</v>
      </c>
      <c r="P101" s="48"/>
      <c r="Q101" s="48">
        <v>162793.78</v>
      </c>
      <c r="R101" s="48"/>
      <c r="S101" s="48">
        <v>131699.70000000001</v>
      </c>
      <c r="T101" s="48"/>
      <c r="U101" s="48">
        <v>0</v>
      </c>
      <c r="V101" s="48"/>
      <c r="W101" s="48">
        <v>0</v>
      </c>
      <c r="X101" s="48"/>
      <c r="Y101" s="48">
        <v>86000</v>
      </c>
      <c r="Z101" s="48"/>
      <c r="AA101" s="48">
        <v>0</v>
      </c>
      <c r="AB101" s="48"/>
      <c r="AC101" s="48">
        <v>0</v>
      </c>
      <c r="AD101" s="48"/>
      <c r="AE101" s="48">
        <f t="shared" si="7"/>
        <v>567064.64999999991</v>
      </c>
      <c r="AF101" s="1"/>
      <c r="AG101" s="55">
        <v>-35597.85</v>
      </c>
      <c r="AH101" s="55"/>
      <c r="AI101" s="55">
        <v>213375.83</v>
      </c>
      <c r="AJ101" s="55"/>
      <c r="AK101" s="55">
        <v>177777.98</v>
      </c>
      <c r="AL101" s="8">
        <f>+'Gen Rev'!AI101-'Gen Exp'!AE101+'Gen Exp'!AI101-AK101</f>
        <v>0</v>
      </c>
      <c r="AM101" s="21" t="str">
        <f>'Gen Rev'!A101</f>
        <v>Byesville</v>
      </c>
      <c r="AN101" s="67" t="str">
        <f t="shared" si="5"/>
        <v>Byesville</v>
      </c>
      <c r="AO101" s="67" t="b">
        <f t="shared" si="6"/>
        <v>1</v>
      </c>
    </row>
    <row r="102" spans="1:41" ht="12" customHeight="1" x14ac:dyDescent="0.2">
      <c r="A102" s="1" t="s">
        <v>95</v>
      </c>
      <c r="C102" s="1" t="s">
        <v>373</v>
      </c>
      <c r="E102" s="48">
        <v>530880</v>
      </c>
      <c r="F102" s="48"/>
      <c r="G102" s="48">
        <v>14995</v>
      </c>
      <c r="H102" s="48"/>
      <c r="I102" s="48">
        <v>305371</v>
      </c>
      <c r="J102" s="48"/>
      <c r="K102" s="48">
        <v>14564</v>
      </c>
      <c r="L102" s="48"/>
      <c r="M102" s="48">
        <v>80639</v>
      </c>
      <c r="N102" s="48"/>
      <c r="O102" s="48">
        <v>204173</v>
      </c>
      <c r="P102" s="48"/>
      <c r="Q102" s="48">
        <v>394929</v>
      </c>
      <c r="R102" s="48"/>
      <c r="S102" s="48">
        <v>41406</v>
      </c>
      <c r="T102" s="48"/>
      <c r="U102" s="48">
        <v>0</v>
      </c>
      <c r="V102" s="48"/>
      <c r="W102" s="48">
        <v>0</v>
      </c>
      <c r="X102" s="48"/>
      <c r="Y102" s="48">
        <v>0</v>
      </c>
      <c r="Z102" s="48"/>
      <c r="AA102" s="48">
        <v>0</v>
      </c>
      <c r="AB102" s="48"/>
      <c r="AC102" s="48">
        <v>0</v>
      </c>
      <c r="AD102" s="48"/>
      <c r="AE102" s="48">
        <f t="shared" si="7"/>
        <v>1586957</v>
      </c>
      <c r="AF102" s="48"/>
      <c r="AG102" s="59"/>
      <c r="AH102" s="59"/>
      <c r="AI102" s="59"/>
      <c r="AJ102" s="59"/>
      <c r="AK102" s="59"/>
      <c r="AL102" s="8">
        <f>+'Gen Rev'!AI102-'Gen Exp'!AE102+'Gen Exp'!AI102-AK102</f>
        <v>220018</v>
      </c>
      <c r="AM102" s="21" t="str">
        <f>'Gen Rev'!A102</f>
        <v>Cadiz</v>
      </c>
      <c r="AN102" s="67" t="str">
        <f t="shared" si="5"/>
        <v>Cadiz</v>
      </c>
      <c r="AO102" s="67" t="b">
        <f t="shared" si="6"/>
        <v>1</v>
      </c>
    </row>
    <row r="103" spans="1:41" ht="12" customHeight="1" x14ac:dyDescent="0.2">
      <c r="A103" s="1" t="s">
        <v>95</v>
      </c>
      <c r="C103" s="1" t="s">
        <v>373</v>
      </c>
      <c r="E103" s="48">
        <v>530880.42000000004</v>
      </c>
      <c r="F103" s="48"/>
      <c r="G103" s="48">
        <v>14995.09</v>
      </c>
      <c r="H103" s="48"/>
      <c r="I103" s="48">
        <v>305370.7</v>
      </c>
      <c r="J103" s="48"/>
      <c r="K103" s="48">
        <v>14564.35</v>
      </c>
      <c r="L103" s="48"/>
      <c r="M103" s="48">
        <v>80639.05</v>
      </c>
      <c r="N103" s="48"/>
      <c r="O103" s="48">
        <v>204172.67</v>
      </c>
      <c r="P103" s="48"/>
      <c r="Q103" s="48">
        <v>394928.69</v>
      </c>
      <c r="R103" s="48"/>
      <c r="S103" s="48">
        <v>41405.699999999997</v>
      </c>
      <c r="T103" s="48"/>
      <c r="U103" s="48">
        <v>0</v>
      </c>
      <c r="V103" s="48"/>
      <c r="W103" s="48">
        <v>0</v>
      </c>
      <c r="X103" s="48"/>
      <c r="Y103" s="48">
        <v>0</v>
      </c>
      <c r="Z103" s="48"/>
      <c r="AA103" s="48">
        <v>0</v>
      </c>
      <c r="AB103" s="48"/>
      <c r="AC103" s="48">
        <v>0</v>
      </c>
      <c r="AD103" s="48"/>
      <c r="AE103" s="48">
        <f t="shared" si="7"/>
        <v>1586956.67</v>
      </c>
      <c r="AG103" s="55">
        <v>220018.12</v>
      </c>
      <c r="AI103" s="55">
        <v>1330203.54</v>
      </c>
      <c r="AK103" s="55">
        <v>1550221.66</v>
      </c>
      <c r="AL103" s="8">
        <f>+'Gen Rev'!AI103-'Gen Exp'!AE103+'Gen Exp'!AI103-AK103</f>
        <v>0</v>
      </c>
      <c r="AM103" s="21" t="str">
        <f>'Gen Rev'!A103</f>
        <v>Cadiz</v>
      </c>
      <c r="AN103" s="67" t="str">
        <f t="shared" si="5"/>
        <v>Cadiz</v>
      </c>
      <c r="AO103" s="67" t="b">
        <f t="shared" si="6"/>
        <v>1</v>
      </c>
    </row>
    <row r="104" spans="1:41" ht="12" customHeight="1" x14ac:dyDescent="0.2">
      <c r="A104" s="1" t="s">
        <v>650</v>
      </c>
      <c r="C104" s="1" t="s">
        <v>651</v>
      </c>
      <c r="D104" s="67"/>
      <c r="E104" s="48">
        <v>15224.21</v>
      </c>
      <c r="F104" s="48"/>
      <c r="G104" s="48">
        <v>600.20000000000005</v>
      </c>
      <c r="H104" s="48"/>
      <c r="I104" s="48">
        <v>8790.42</v>
      </c>
      <c r="J104" s="48"/>
      <c r="K104" s="48">
        <v>3000.83</v>
      </c>
      <c r="L104" s="48"/>
      <c r="M104" s="48">
        <v>0</v>
      </c>
      <c r="N104" s="48"/>
      <c r="O104" s="48">
        <v>0</v>
      </c>
      <c r="P104" s="48"/>
      <c r="Q104" s="48">
        <v>79204.990000000005</v>
      </c>
      <c r="R104" s="48"/>
      <c r="S104" s="48">
        <v>28471.69</v>
      </c>
      <c r="T104" s="48"/>
      <c r="U104" s="48">
        <v>0</v>
      </c>
      <c r="V104" s="48"/>
      <c r="W104" s="48">
        <v>0</v>
      </c>
      <c r="X104" s="48"/>
      <c r="Y104" s="48">
        <v>0</v>
      </c>
      <c r="Z104" s="48"/>
      <c r="AA104" s="48">
        <v>0</v>
      </c>
      <c r="AB104" s="48"/>
      <c r="AC104" s="48">
        <v>0</v>
      </c>
      <c r="AD104" s="48"/>
      <c r="AE104" s="48">
        <f t="shared" si="7"/>
        <v>135292.34</v>
      </c>
      <c r="AG104" s="55">
        <v>2691.62</v>
      </c>
      <c r="AI104" s="55">
        <v>131677.39000000001</v>
      </c>
      <c r="AK104" s="55">
        <v>134369.01</v>
      </c>
      <c r="AL104" s="8">
        <f>+'Gen Rev'!AI104-'Gen Exp'!AE104+'Gen Exp'!AI104-AK104</f>
        <v>0</v>
      </c>
      <c r="AM104" s="21" t="str">
        <f>'Gen Rev'!A104</f>
        <v>Cairo</v>
      </c>
      <c r="AN104" s="67" t="str">
        <f t="shared" si="5"/>
        <v>Cairo</v>
      </c>
      <c r="AO104" s="67" t="b">
        <f t="shared" si="6"/>
        <v>1</v>
      </c>
    </row>
    <row r="105" spans="1:41" ht="12" customHeight="1" x14ac:dyDescent="0.2">
      <c r="A105" s="1" t="s">
        <v>163</v>
      </c>
      <c r="C105" s="1" t="s">
        <v>455</v>
      </c>
      <c r="E105" s="48">
        <v>47544.959999999999</v>
      </c>
      <c r="F105" s="48"/>
      <c r="G105" s="48">
        <v>0</v>
      </c>
      <c r="H105" s="48"/>
      <c r="I105" s="48">
        <v>0</v>
      </c>
      <c r="J105" s="48"/>
      <c r="K105" s="48">
        <v>1842.49</v>
      </c>
      <c r="L105" s="48"/>
      <c r="M105" s="48">
        <v>0</v>
      </c>
      <c r="N105" s="48"/>
      <c r="O105" s="48">
        <v>153683.69</v>
      </c>
      <c r="P105" s="48"/>
      <c r="Q105" s="48">
        <v>101732.88</v>
      </c>
      <c r="R105" s="48"/>
      <c r="S105" s="48">
        <v>0</v>
      </c>
      <c r="T105" s="48"/>
      <c r="U105" s="48">
        <v>0</v>
      </c>
      <c r="V105" s="48"/>
      <c r="W105" s="48">
        <v>0</v>
      </c>
      <c r="X105" s="48"/>
      <c r="Y105" s="48">
        <v>0</v>
      </c>
      <c r="Z105" s="48"/>
      <c r="AA105" s="48">
        <v>0</v>
      </c>
      <c r="AB105" s="48"/>
      <c r="AC105" s="48">
        <v>2875.34</v>
      </c>
      <c r="AD105" s="48"/>
      <c r="AE105" s="48">
        <f t="shared" si="7"/>
        <v>307679.36000000004</v>
      </c>
      <c r="AG105" s="55">
        <v>679182.07</v>
      </c>
      <c r="AI105" s="55">
        <v>1339339.3700000001</v>
      </c>
      <c r="AK105" s="55">
        <v>2018521.44</v>
      </c>
      <c r="AL105" s="8">
        <f>+'Gen Rev'!AI105-'Gen Exp'!AE105+'Gen Exp'!AI105-AK105</f>
        <v>0</v>
      </c>
      <c r="AM105" s="21" t="str">
        <f>'Gen Rev'!A105</f>
        <v>Caldwell</v>
      </c>
      <c r="AN105" s="67" t="str">
        <f t="shared" si="5"/>
        <v>Caldwell</v>
      </c>
      <c r="AO105" s="67" t="b">
        <f t="shared" si="6"/>
        <v>1</v>
      </c>
    </row>
    <row r="106" spans="1:41" s="67" customFormat="1" ht="12" customHeight="1" x14ac:dyDescent="0.2">
      <c r="A106" s="1" t="s">
        <v>137</v>
      </c>
      <c r="B106" s="1"/>
      <c r="C106" s="1" t="s">
        <v>430</v>
      </c>
      <c r="D106" s="1"/>
      <c r="E106" s="48">
        <v>19420.490000000002</v>
      </c>
      <c r="F106" s="48"/>
      <c r="G106" s="48">
        <v>3512.5</v>
      </c>
      <c r="H106" s="48"/>
      <c r="I106" s="48">
        <v>14023.54</v>
      </c>
      <c r="J106" s="48"/>
      <c r="K106" s="48">
        <v>2163.5700000000002</v>
      </c>
      <c r="L106" s="48"/>
      <c r="M106" s="48">
        <v>37.299999999999997</v>
      </c>
      <c r="N106" s="48"/>
      <c r="O106" s="48">
        <v>1593.22</v>
      </c>
      <c r="P106" s="48"/>
      <c r="Q106" s="48">
        <v>49972.08</v>
      </c>
      <c r="R106" s="48"/>
      <c r="S106" s="48">
        <v>0</v>
      </c>
      <c r="T106" s="48"/>
      <c r="U106" s="48">
        <v>834.67</v>
      </c>
      <c r="V106" s="48"/>
      <c r="W106" s="48">
        <v>0</v>
      </c>
      <c r="X106" s="48"/>
      <c r="Y106" s="48">
        <v>131.69999999999999</v>
      </c>
      <c r="Z106" s="48"/>
      <c r="AA106" s="48">
        <v>0</v>
      </c>
      <c r="AB106" s="48"/>
      <c r="AC106" s="48">
        <v>2374.52</v>
      </c>
      <c r="AD106" s="48"/>
      <c r="AE106" s="48">
        <f t="shared" si="7"/>
        <v>94063.590000000011</v>
      </c>
      <c r="AF106" s="1"/>
      <c r="AG106" s="55">
        <v>21254.45</v>
      </c>
      <c r="AH106" s="55"/>
      <c r="AI106" s="55">
        <v>147869.57</v>
      </c>
      <c r="AJ106" s="55"/>
      <c r="AK106" s="55">
        <v>169124.02</v>
      </c>
      <c r="AL106" s="8">
        <f>+'Gen Rev'!AI106-'Gen Exp'!AE106+'Gen Exp'!AI106-AK106</f>
        <v>0</v>
      </c>
      <c r="AM106" s="21" t="str">
        <f>'Gen Rev'!A106</f>
        <v>Caledonia</v>
      </c>
      <c r="AN106" s="67" t="str">
        <f t="shared" si="5"/>
        <v>Caledonia</v>
      </c>
      <c r="AO106" s="67" t="b">
        <f t="shared" si="6"/>
        <v>1</v>
      </c>
    </row>
    <row r="107" spans="1:41" s="67" customFormat="1" ht="12" customHeight="1" x14ac:dyDescent="0.2">
      <c r="A107" s="1" t="s">
        <v>183</v>
      </c>
      <c r="B107" s="1"/>
      <c r="C107" s="1" t="s">
        <v>472</v>
      </c>
      <c r="D107" s="1"/>
      <c r="E107" s="48">
        <v>188784.79</v>
      </c>
      <c r="F107" s="48"/>
      <c r="G107" s="48">
        <v>0</v>
      </c>
      <c r="H107" s="48"/>
      <c r="I107" s="48">
        <v>0</v>
      </c>
      <c r="J107" s="48"/>
      <c r="K107" s="48">
        <v>0</v>
      </c>
      <c r="L107" s="48"/>
      <c r="M107" s="48">
        <v>18713.849999999999</v>
      </c>
      <c r="N107" s="48"/>
      <c r="O107" s="48">
        <v>0</v>
      </c>
      <c r="P107" s="48"/>
      <c r="Q107" s="48">
        <v>135807.56</v>
      </c>
      <c r="R107" s="48"/>
      <c r="S107" s="48">
        <v>0</v>
      </c>
      <c r="T107" s="48"/>
      <c r="U107" s="48">
        <v>0</v>
      </c>
      <c r="V107" s="48"/>
      <c r="W107" s="48">
        <v>0</v>
      </c>
      <c r="X107" s="48"/>
      <c r="Y107" s="48">
        <v>0</v>
      </c>
      <c r="Z107" s="48"/>
      <c r="AA107" s="48">
        <v>0</v>
      </c>
      <c r="AB107" s="48"/>
      <c r="AC107" s="48">
        <v>0</v>
      </c>
      <c r="AD107" s="48"/>
      <c r="AE107" s="48">
        <f t="shared" si="7"/>
        <v>343306.2</v>
      </c>
      <c r="AF107" s="1"/>
      <c r="AG107" s="55">
        <v>-1167.5</v>
      </c>
      <c r="AH107" s="55"/>
      <c r="AI107" s="55">
        <v>147067.47</v>
      </c>
      <c r="AJ107" s="55"/>
      <c r="AK107" s="55">
        <v>145899.97</v>
      </c>
      <c r="AL107" s="8">
        <f>+'Gen Rev'!AI107-'Gen Exp'!AE107+'Gen Exp'!AI107-AK107</f>
        <v>0</v>
      </c>
      <c r="AM107" s="21" t="str">
        <f>'Gen Rev'!A107</f>
        <v>Camden</v>
      </c>
      <c r="AN107" s="67" t="str">
        <f t="shared" si="5"/>
        <v>Camden</v>
      </c>
      <c r="AO107" s="67" t="b">
        <f t="shared" si="6"/>
        <v>1</v>
      </c>
    </row>
    <row r="108" spans="1:41" ht="12" customHeight="1" x14ac:dyDescent="0.2">
      <c r="A108" s="1" t="s">
        <v>156</v>
      </c>
      <c r="C108" s="1" t="s">
        <v>226</v>
      </c>
      <c r="E108" s="48">
        <v>265571.78000000003</v>
      </c>
      <c r="F108" s="48"/>
      <c r="G108" s="48">
        <v>1417.16</v>
      </c>
      <c r="H108" s="48"/>
      <c r="I108" s="48">
        <v>0</v>
      </c>
      <c r="J108" s="48"/>
      <c r="K108" s="48">
        <v>931.14</v>
      </c>
      <c r="L108" s="48"/>
      <c r="M108" s="48">
        <v>2419.6999999999998</v>
      </c>
      <c r="N108" s="48"/>
      <c r="O108" s="48">
        <v>0</v>
      </c>
      <c r="P108" s="48"/>
      <c r="Q108" s="48">
        <v>214667.53</v>
      </c>
      <c r="R108" s="48"/>
      <c r="S108" s="48">
        <v>0</v>
      </c>
      <c r="T108" s="48"/>
      <c r="U108" s="48">
        <v>0</v>
      </c>
      <c r="V108" s="48"/>
      <c r="W108" s="48">
        <v>0</v>
      </c>
      <c r="X108" s="48"/>
      <c r="Y108" s="48">
        <v>0</v>
      </c>
      <c r="Z108" s="48"/>
      <c r="AA108" s="48">
        <v>0</v>
      </c>
      <c r="AB108" s="48"/>
      <c r="AC108" s="48">
        <v>0</v>
      </c>
      <c r="AD108" s="48"/>
      <c r="AE108" s="48">
        <f t="shared" si="7"/>
        <v>485007.31000000006</v>
      </c>
      <c r="AG108" s="55">
        <v>-41572.92</v>
      </c>
      <c r="AI108" s="55">
        <v>197706.76</v>
      </c>
      <c r="AK108" s="55">
        <v>156133.84</v>
      </c>
      <c r="AL108" s="8">
        <f>+'Gen Rev'!AI108-'Gen Exp'!AE108+'Gen Exp'!AI108-AK108</f>
        <v>0</v>
      </c>
      <c r="AM108" s="21" t="str">
        <f>'Gen Rev'!A108</f>
        <v>Cardington</v>
      </c>
      <c r="AN108" s="67" t="str">
        <f t="shared" si="5"/>
        <v>Cardington</v>
      </c>
      <c r="AO108" s="67" t="b">
        <f t="shared" si="6"/>
        <v>1</v>
      </c>
    </row>
    <row r="109" spans="1:41" ht="12" customHeight="1" x14ac:dyDescent="0.2">
      <c r="A109" s="1" t="s">
        <v>565</v>
      </c>
      <c r="C109" s="1" t="s">
        <v>566</v>
      </c>
      <c r="E109" s="48">
        <v>914570</v>
      </c>
      <c r="F109" s="48"/>
      <c r="G109" s="48">
        <v>8197</v>
      </c>
      <c r="H109" s="48"/>
      <c r="I109" s="48">
        <v>0</v>
      </c>
      <c r="J109" s="48"/>
      <c r="K109" s="48">
        <v>6800</v>
      </c>
      <c r="L109" s="48"/>
      <c r="M109" s="48">
        <v>3035</v>
      </c>
      <c r="N109" s="48"/>
      <c r="O109" s="48">
        <v>0</v>
      </c>
      <c r="P109" s="48"/>
      <c r="Q109" s="48">
        <v>329558</v>
      </c>
      <c r="R109" s="48"/>
      <c r="S109" s="48">
        <v>0</v>
      </c>
      <c r="T109" s="48"/>
      <c r="U109" s="48">
        <v>55000</v>
      </c>
      <c r="V109" s="48"/>
      <c r="W109" s="48">
        <v>10981</v>
      </c>
      <c r="X109" s="48"/>
      <c r="Y109" s="48">
        <v>0</v>
      </c>
      <c r="Z109" s="48"/>
      <c r="AA109" s="48">
        <v>0</v>
      </c>
      <c r="AB109" s="48"/>
      <c r="AC109" s="48">
        <v>0</v>
      </c>
      <c r="AD109" s="48"/>
      <c r="AE109" s="48">
        <f t="shared" si="7"/>
        <v>1328141</v>
      </c>
      <c r="AF109" s="48"/>
      <c r="AG109" s="59"/>
      <c r="AH109" s="59"/>
      <c r="AI109" s="59"/>
      <c r="AJ109" s="59"/>
      <c r="AK109" s="59"/>
      <c r="AL109" s="8">
        <f>+'Gen Rev'!AI109-'Gen Exp'!AE109+'Gen Exp'!AI109-AK109</f>
        <v>6834</v>
      </c>
      <c r="AM109" s="21" t="str">
        <f>'Gen Rev'!A109</f>
        <v>Carey</v>
      </c>
      <c r="AN109" s="67" t="str">
        <f t="shared" si="5"/>
        <v>Carey</v>
      </c>
      <c r="AO109" s="67" t="b">
        <f t="shared" si="6"/>
        <v>1</v>
      </c>
    </row>
    <row r="110" spans="1:41" s="67" customFormat="1" ht="12" customHeight="1" x14ac:dyDescent="0.2">
      <c r="A110" s="1" t="s">
        <v>816</v>
      </c>
      <c r="B110" s="1"/>
      <c r="C110" s="1" t="s">
        <v>697</v>
      </c>
      <c r="D110" s="1"/>
      <c r="E110" s="48">
        <v>328667</v>
      </c>
      <c r="F110" s="48"/>
      <c r="G110" s="48">
        <v>0</v>
      </c>
      <c r="H110" s="48"/>
      <c r="I110" s="48">
        <v>6612</v>
      </c>
      <c r="J110" s="48"/>
      <c r="K110" s="48">
        <v>92580</v>
      </c>
      <c r="L110" s="48"/>
      <c r="M110" s="48">
        <v>0</v>
      </c>
      <c r="N110" s="48"/>
      <c r="O110" s="48">
        <v>0</v>
      </c>
      <c r="P110" s="48"/>
      <c r="Q110" s="48">
        <v>453475</v>
      </c>
      <c r="R110" s="48"/>
      <c r="S110" s="48">
        <v>0</v>
      </c>
      <c r="T110" s="48"/>
      <c r="U110" s="48">
        <v>0</v>
      </c>
      <c r="V110" s="48"/>
      <c r="W110" s="48">
        <v>0</v>
      </c>
      <c r="X110" s="48"/>
      <c r="Y110" s="48">
        <v>100000</v>
      </c>
      <c r="Z110" s="48"/>
      <c r="AA110" s="48">
        <v>0</v>
      </c>
      <c r="AB110" s="48"/>
      <c r="AC110" s="48">
        <v>0</v>
      </c>
      <c r="AD110" s="48"/>
      <c r="AE110" s="48">
        <f t="shared" si="7"/>
        <v>981334</v>
      </c>
      <c r="AF110" s="48"/>
      <c r="AG110" s="59"/>
      <c r="AH110" s="59"/>
      <c r="AI110" s="59"/>
      <c r="AJ110" s="59"/>
      <c r="AK110" s="59"/>
      <c r="AL110" s="8">
        <f>+'Gen Rev'!AI110-'Gen Exp'!AE110+'Gen Exp'!AI110-AK110</f>
        <v>57146</v>
      </c>
      <c r="AM110" s="21" t="str">
        <f>'Gen Rev'!A110</f>
        <v>Carlisle</v>
      </c>
      <c r="AN110" s="67" t="str">
        <f t="shared" si="5"/>
        <v>Carlisle</v>
      </c>
      <c r="AO110" s="67" t="b">
        <f t="shared" si="6"/>
        <v>1</v>
      </c>
    </row>
    <row r="111" spans="1:41" s="67" customFormat="1" ht="12" customHeight="1" x14ac:dyDescent="0.2">
      <c r="A111" s="1" t="s">
        <v>57</v>
      </c>
      <c r="B111" s="1"/>
      <c r="C111" s="1" t="s">
        <v>327</v>
      </c>
      <c r="D111" s="1"/>
      <c r="E111" s="48">
        <v>110908.76</v>
      </c>
      <c r="F111" s="48"/>
      <c r="G111" s="48">
        <v>2091.12</v>
      </c>
      <c r="H111" s="48"/>
      <c r="I111" s="48">
        <v>9066.44</v>
      </c>
      <c r="J111" s="48"/>
      <c r="K111" s="48">
        <v>13968.29</v>
      </c>
      <c r="L111" s="48"/>
      <c r="M111" s="48">
        <v>0</v>
      </c>
      <c r="N111" s="48"/>
      <c r="O111" s="48">
        <v>9179.57</v>
      </c>
      <c r="P111" s="48"/>
      <c r="Q111" s="48">
        <v>67853.67</v>
      </c>
      <c r="R111" s="48"/>
      <c r="S111" s="48">
        <v>0</v>
      </c>
      <c r="T111" s="48"/>
      <c r="U111" s="48">
        <v>0</v>
      </c>
      <c r="V111" s="48"/>
      <c r="W111" s="48">
        <v>0</v>
      </c>
      <c r="X111" s="48"/>
      <c r="Y111" s="48">
        <v>500</v>
      </c>
      <c r="Z111" s="48"/>
      <c r="AA111" s="48">
        <v>0</v>
      </c>
      <c r="AB111" s="48"/>
      <c r="AC111" s="48">
        <v>0</v>
      </c>
      <c r="AD111" s="48"/>
      <c r="AE111" s="48">
        <f t="shared" si="7"/>
        <v>213567.84999999998</v>
      </c>
      <c r="AF111" s="1"/>
      <c r="AG111" s="55">
        <v>6303.5</v>
      </c>
      <c r="AH111" s="55"/>
      <c r="AI111" s="55">
        <v>269883.28999999998</v>
      </c>
      <c r="AJ111" s="55"/>
      <c r="AK111" s="55">
        <v>276186.78999999998</v>
      </c>
      <c r="AL111" s="8">
        <f>+'Gen Rev'!AI111-'Gen Exp'!AE111+'Gen Exp'!AI111-AK111</f>
        <v>0</v>
      </c>
      <c r="AM111" s="21" t="str">
        <f>'Gen Rev'!A111</f>
        <v>Carroll</v>
      </c>
      <c r="AN111" s="67" t="str">
        <f t="shared" si="5"/>
        <v>Carroll</v>
      </c>
      <c r="AO111" s="67" t="b">
        <f t="shared" si="6"/>
        <v>1</v>
      </c>
    </row>
    <row r="112" spans="1:41" s="14" customFormat="1" ht="12" customHeight="1" x14ac:dyDescent="0.2">
      <c r="A112" s="1" t="s">
        <v>267</v>
      </c>
      <c r="B112" s="1"/>
      <c r="C112" s="1" t="s">
        <v>57</v>
      </c>
      <c r="D112" s="1"/>
      <c r="E112" s="48">
        <v>636731</v>
      </c>
      <c r="F112" s="48"/>
      <c r="G112" s="48">
        <v>47028</v>
      </c>
      <c r="H112" s="48"/>
      <c r="I112" s="48">
        <v>1156</v>
      </c>
      <c r="J112" s="48"/>
      <c r="K112" s="48">
        <v>5263</v>
      </c>
      <c r="L112" s="48"/>
      <c r="M112" s="48">
        <v>0</v>
      </c>
      <c r="N112" s="48"/>
      <c r="O112" s="48">
        <v>288431</v>
      </c>
      <c r="P112" s="48"/>
      <c r="Q112" s="48">
        <v>314543</v>
      </c>
      <c r="R112" s="48"/>
      <c r="S112" s="48">
        <v>9898</v>
      </c>
      <c r="T112" s="48"/>
      <c r="U112" s="48">
        <v>0</v>
      </c>
      <c r="V112" s="48"/>
      <c r="W112" s="48">
        <v>0</v>
      </c>
      <c r="X112" s="48"/>
      <c r="Y112" s="48">
        <v>0</v>
      </c>
      <c r="Z112" s="48"/>
      <c r="AA112" s="48">
        <v>0</v>
      </c>
      <c r="AB112" s="48"/>
      <c r="AC112" s="48">
        <v>0</v>
      </c>
      <c r="AD112" s="48"/>
      <c r="AE112" s="48">
        <f t="shared" si="7"/>
        <v>1303050</v>
      </c>
      <c r="AF112" s="48"/>
      <c r="AG112" s="59"/>
      <c r="AH112" s="59"/>
      <c r="AI112" s="59"/>
      <c r="AJ112" s="59"/>
      <c r="AK112" s="59"/>
      <c r="AL112" s="8">
        <f>+'Gen Rev'!AI112-'Gen Exp'!AE112+'Gen Exp'!AI112-AK112</f>
        <v>-765520</v>
      </c>
      <c r="AM112" s="21" t="str">
        <f>'Gen Rev'!A112</f>
        <v>Carrollton</v>
      </c>
      <c r="AN112" s="67" t="str">
        <f t="shared" si="5"/>
        <v>Carrollton</v>
      </c>
      <c r="AO112" s="67" t="b">
        <f t="shared" si="6"/>
        <v>1</v>
      </c>
    </row>
    <row r="113" spans="1:41" ht="12" customHeight="1" x14ac:dyDescent="0.2">
      <c r="A113" s="1" t="s">
        <v>795</v>
      </c>
      <c r="C113" s="1" t="s">
        <v>437</v>
      </c>
      <c r="E113" s="48">
        <v>6622</v>
      </c>
      <c r="F113" s="48"/>
      <c r="G113" s="48">
        <v>0</v>
      </c>
      <c r="H113" s="48"/>
      <c r="I113" s="48">
        <v>269.14999999999998</v>
      </c>
      <c r="J113" s="48"/>
      <c r="K113" s="48">
        <v>0</v>
      </c>
      <c r="L113" s="48"/>
      <c r="M113" s="48">
        <v>0</v>
      </c>
      <c r="N113" s="48"/>
      <c r="O113" s="48">
        <v>3697.47</v>
      </c>
      <c r="P113" s="48"/>
      <c r="Q113" s="48">
        <v>17532.21</v>
      </c>
      <c r="R113" s="48"/>
      <c r="S113" s="48">
        <v>0</v>
      </c>
      <c r="T113" s="48"/>
      <c r="U113" s="48">
        <v>0</v>
      </c>
      <c r="V113" s="48"/>
      <c r="W113" s="48">
        <v>0</v>
      </c>
      <c r="X113" s="48"/>
      <c r="Y113" s="48">
        <v>0</v>
      </c>
      <c r="Z113" s="48"/>
      <c r="AA113" s="48">
        <v>0</v>
      </c>
      <c r="AB113" s="48"/>
      <c r="AC113" s="48">
        <v>0</v>
      </c>
      <c r="AD113" s="48"/>
      <c r="AE113" s="48">
        <f t="shared" si="7"/>
        <v>28120.829999999998</v>
      </c>
      <c r="AG113" s="55">
        <v>1032.83</v>
      </c>
      <c r="AI113" s="55">
        <v>199007.01</v>
      </c>
      <c r="AK113" s="55">
        <v>200039.84</v>
      </c>
      <c r="AL113" s="8">
        <f>+'Gen Rev'!AI113-'Gen Exp'!AE113+'Gen Exp'!AI113-AK113</f>
        <v>0</v>
      </c>
      <c r="AM113" s="21" t="str">
        <f>'Gen Rev'!A113</f>
        <v>Casstown</v>
      </c>
      <c r="AN113" s="67" t="str">
        <f t="shared" si="5"/>
        <v>Casstown</v>
      </c>
      <c r="AO113" s="67" t="b">
        <f t="shared" si="6"/>
        <v>1</v>
      </c>
    </row>
    <row r="114" spans="1:41" s="14" customFormat="1" ht="12" customHeight="1" x14ac:dyDescent="0.2">
      <c r="A114" s="1" t="s">
        <v>55</v>
      </c>
      <c r="B114" s="1"/>
      <c r="C114" s="1" t="s">
        <v>325</v>
      </c>
      <c r="D114" s="1"/>
      <c r="E114" s="48">
        <v>158851.71</v>
      </c>
      <c r="F114" s="48"/>
      <c r="G114" s="48">
        <v>1200</v>
      </c>
      <c r="H114" s="48"/>
      <c r="I114" s="48">
        <v>4991.2700000000004</v>
      </c>
      <c r="J114" s="48"/>
      <c r="K114" s="48">
        <v>1388.44</v>
      </c>
      <c r="L114" s="48"/>
      <c r="M114" s="48">
        <v>1259.92</v>
      </c>
      <c r="N114" s="48"/>
      <c r="O114" s="48">
        <v>5683.35</v>
      </c>
      <c r="P114" s="48"/>
      <c r="Q114" s="48">
        <v>66738.81</v>
      </c>
      <c r="R114" s="48"/>
      <c r="S114" s="48">
        <v>0</v>
      </c>
      <c r="T114" s="48"/>
      <c r="U114" s="48">
        <v>0</v>
      </c>
      <c r="V114" s="48"/>
      <c r="W114" s="48">
        <v>0</v>
      </c>
      <c r="X114" s="48"/>
      <c r="Y114" s="48">
        <v>10000</v>
      </c>
      <c r="Z114" s="48"/>
      <c r="AA114" s="48">
        <v>0</v>
      </c>
      <c r="AB114" s="48"/>
      <c r="AC114" s="48">
        <v>0</v>
      </c>
      <c r="AD114" s="48"/>
      <c r="AE114" s="48">
        <f t="shared" si="7"/>
        <v>250113.5</v>
      </c>
      <c r="AF114" s="1"/>
      <c r="AG114" s="55">
        <v>-95904.2</v>
      </c>
      <c r="AH114" s="55"/>
      <c r="AI114" s="55">
        <v>252560.84</v>
      </c>
      <c r="AJ114" s="55"/>
      <c r="AK114" s="55">
        <v>156656.64000000001</v>
      </c>
      <c r="AL114" s="8">
        <f>+'Gen Rev'!AI114-'Gen Exp'!AE114+'Gen Exp'!AI114-AK114</f>
        <v>0</v>
      </c>
      <c r="AM114" s="21" t="str">
        <f>'Gen Rev'!A114</f>
        <v>Castalia</v>
      </c>
      <c r="AN114" s="67" t="str">
        <f t="shared" si="5"/>
        <v>Castalia</v>
      </c>
      <c r="AO114" s="67" t="b">
        <f t="shared" si="6"/>
        <v>1</v>
      </c>
    </row>
    <row r="115" spans="1:41" s="67" customFormat="1" ht="12" customHeight="1" x14ac:dyDescent="0.2">
      <c r="A115" s="1" t="s">
        <v>33</v>
      </c>
      <c r="B115" s="1"/>
      <c r="C115" s="1" t="s">
        <v>274</v>
      </c>
      <c r="D115" s="1"/>
      <c r="E115" s="48">
        <v>22221.74</v>
      </c>
      <c r="F115" s="48"/>
      <c r="G115" s="48">
        <v>0</v>
      </c>
      <c r="H115" s="48"/>
      <c r="I115" s="48">
        <v>200</v>
      </c>
      <c r="J115" s="48"/>
      <c r="K115" s="48">
        <v>0</v>
      </c>
      <c r="L115" s="48"/>
      <c r="M115" s="48">
        <v>0</v>
      </c>
      <c r="N115" s="48"/>
      <c r="O115" s="48">
        <v>0</v>
      </c>
      <c r="P115" s="48"/>
      <c r="Q115" s="48">
        <v>29054.82</v>
      </c>
      <c r="R115" s="48"/>
      <c r="S115" s="48">
        <v>0</v>
      </c>
      <c r="T115" s="48"/>
      <c r="U115" s="48">
        <v>0</v>
      </c>
      <c r="V115" s="48"/>
      <c r="W115" s="48">
        <v>0</v>
      </c>
      <c r="X115" s="48"/>
      <c r="Y115" s="48">
        <v>0</v>
      </c>
      <c r="Z115" s="48"/>
      <c r="AA115" s="48">
        <v>0</v>
      </c>
      <c r="AB115" s="48"/>
      <c r="AC115" s="48">
        <v>6325.5</v>
      </c>
      <c r="AD115" s="48"/>
      <c r="AE115" s="48">
        <f t="shared" si="7"/>
        <v>57802.06</v>
      </c>
      <c r="AF115" s="1"/>
      <c r="AG115" s="55">
        <v>11717.58</v>
      </c>
      <c r="AH115" s="55"/>
      <c r="AI115" s="55">
        <v>59881.85</v>
      </c>
      <c r="AJ115" s="55"/>
      <c r="AK115" s="55">
        <v>71599.429999999993</v>
      </c>
      <c r="AL115" s="8">
        <f>+'Gen Rev'!AI115-'Gen Exp'!AE115+'Gen Exp'!AI115-AK115</f>
        <v>0</v>
      </c>
      <c r="AM115" s="21" t="str">
        <f>'Gen Rev'!A115</f>
        <v>Catawba</v>
      </c>
      <c r="AN115" s="67" t="str">
        <f t="shared" si="5"/>
        <v>Catawba</v>
      </c>
      <c r="AO115" s="67" t="b">
        <f t="shared" si="6"/>
        <v>1</v>
      </c>
    </row>
    <row r="116" spans="1:41" s="67" customFormat="1" ht="12" customHeight="1" x14ac:dyDescent="0.2">
      <c r="A116" s="1" t="s">
        <v>168</v>
      </c>
      <c r="B116" s="1"/>
      <c r="C116" s="1" t="s">
        <v>460</v>
      </c>
      <c r="D116" s="1"/>
      <c r="E116" s="48">
        <v>2113.4899999999998</v>
      </c>
      <c r="F116" s="48"/>
      <c r="G116" s="48">
        <v>250</v>
      </c>
      <c r="H116" s="48"/>
      <c r="I116" s="48">
        <v>152.62</v>
      </c>
      <c r="J116" s="48"/>
      <c r="K116" s="48">
        <v>795</v>
      </c>
      <c r="L116" s="48"/>
      <c r="M116" s="48">
        <v>0</v>
      </c>
      <c r="N116" s="48"/>
      <c r="O116" s="48">
        <v>0</v>
      </c>
      <c r="P116" s="48"/>
      <c r="Q116" s="48">
        <v>19451.650000000001</v>
      </c>
      <c r="R116" s="48"/>
      <c r="S116" s="48">
        <v>0</v>
      </c>
      <c r="T116" s="48"/>
      <c r="U116" s="48">
        <v>0</v>
      </c>
      <c r="V116" s="48"/>
      <c r="W116" s="48">
        <v>0</v>
      </c>
      <c r="X116" s="48"/>
      <c r="Y116" s="48">
        <v>0</v>
      </c>
      <c r="Z116" s="48"/>
      <c r="AA116" s="48">
        <v>0</v>
      </c>
      <c r="AB116" s="48"/>
      <c r="AC116" s="48">
        <v>0</v>
      </c>
      <c r="AD116" s="48"/>
      <c r="AE116" s="48">
        <f t="shared" si="7"/>
        <v>22762.760000000002</v>
      </c>
      <c r="AF116" s="1"/>
      <c r="AG116" s="55">
        <v>12023.1</v>
      </c>
      <c r="AH116" s="55"/>
      <c r="AI116" s="55">
        <v>42559.35</v>
      </c>
      <c r="AJ116" s="55"/>
      <c r="AK116" s="55">
        <v>54582.45</v>
      </c>
      <c r="AL116" s="8">
        <f>+'Gen Rev'!AI116-'Gen Exp'!AE116+'Gen Exp'!AI116-AK116</f>
        <v>0</v>
      </c>
      <c r="AM116" s="21" t="str">
        <f>'Gen Rev'!A116</f>
        <v>Cecil</v>
      </c>
      <c r="AN116" s="67" t="str">
        <f t="shared" si="5"/>
        <v>Cecil</v>
      </c>
      <c r="AO116" s="67" t="b">
        <f t="shared" si="6"/>
        <v>1</v>
      </c>
    </row>
    <row r="117" spans="1:41" ht="12" customHeight="1" x14ac:dyDescent="0.2">
      <c r="A117" s="1" t="s">
        <v>344</v>
      </c>
      <c r="C117" s="1" t="s">
        <v>345</v>
      </c>
      <c r="E117" s="48">
        <v>35046</v>
      </c>
      <c r="F117" s="48"/>
      <c r="G117" s="48">
        <v>2098</v>
      </c>
      <c r="H117" s="48"/>
      <c r="I117" s="48">
        <v>15000</v>
      </c>
      <c r="J117" s="48"/>
      <c r="K117" s="48">
        <v>7917</v>
      </c>
      <c r="L117" s="48"/>
      <c r="M117" s="48">
        <v>1983</v>
      </c>
      <c r="N117" s="48"/>
      <c r="O117" s="48">
        <v>27728</v>
      </c>
      <c r="P117" s="48"/>
      <c r="Q117" s="48">
        <v>367789</v>
      </c>
      <c r="R117" s="48"/>
      <c r="S117" s="48">
        <v>6589</v>
      </c>
      <c r="T117" s="48"/>
      <c r="U117" s="48">
        <v>0</v>
      </c>
      <c r="V117" s="48"/>
      <c r="W117" s="48">
        <v>0</v>
      </c>
      <c r="X117" s="48"/>
      <c r="Y117" s="48">
        <v>353500</v>
      </c>
      <c r="Z117" s="48"/>
      <c r="AA117" s="48">
        <v>23260</v>
      </c>
      <c r="AB117" s="48"/>
      <c r="AC117" s="48">
        <v>0</v>
      </c>
      <c r="AD117" s="48"/>
      <c r="AE117" s="48">
        <f t="shared" si="7"/>
        <v>840910</v>
      </c>
      <c r="AF117" s="48"/>
      <c r="AG117" s="59"/>
      <c r="AH117" s="59"/>
      <c r="AI117" s="59"/>
      <c r="AJ117" s="59"/>
      <c r="AK117" s="59"/>
      <c r="AL117" s="8">
        <f>+'Gen Rev'!AI117-'Gen Exp'!AE117+'Gen Exp'!AI117-AK117</f>
        <v>-140424</v>
      </c>
      <c r="AM117" s="21" t="str">
        <f>'Gen Rev'!A117</f>
        <v>Cedarville</v>
      </c>
      <c r="AN117" s="67" t="str">
        <f t="shared" si="5"/>
        <v>Cedarville</v>
      </c>
      <c r="AO117" s="67" t="b">
        <f t="shared" si="6"/>
        <v>1</v>
      </c>
    </row>
    <row r="118" spans="1:41" s="67" customFormat="1" ht="12" customHeight="1" x14ac:dyDescent="0.2">
      <c r="A118" s="1" t="s">
        <v>114</v>
      </c>
      <c r="B118" s="1"/>
      <c r="C118" s="1" t="s">
        <v>396</v>
      </c>
      <c r="D118" s="1"/>
      <c r="E118" s="48">
        <v>129862.99</v>
      </c>
      <c r="F118" s="48"/>
      <c r="G118" s="48">
        <v>1648.53</v>
      </c>
      <c r="H118" s="48"/>
      <c r="I118" s="48">
        <v>0</v>
      </c>
      <c r="J118" s="48"/>
      <c r="K118" s="48">
        <v>16367.01</v>
      </c>
      <c r="L118" s="48"/>
      <c r="M118" s="48">
        <v>0</v>
      </c>
      <c r="N118" s="48"/>
      <c r="O118" s="48">
        <v>90542.78</v>
      </c>
      <c r="P118" s="48"/>
      <c r="Q118" s="48">
        <v>212978.19</v>
      </c>
      <c r="R118" s="48"/>
      <c r="S118" s="48">
        <v>0</v>
      </c>
      <c r="T118" s="48"/>
      <c r="U118" s="48">
        <v>12457.22</v>
      </c>
      <c r="V118" s="48"/>
      <c r="W118" s="48">
        <v>928.51</v>
      </c>
      <c r="X118" s="48"/>
      <c r="Y118" s="48">
        <v>427.99</v>
      </c>
      <c r="Z118" s="48"/>
      <c r="AA118" s="48">
        <v>0</v>
      </c>
      <c r="AB118" s="48"/>
      <c r="AC118" s="48">
        <v>0</v>
      </c>
      <c r="AD118" s="48"/>
      <c r="AE118" s="48">
        <f t="shared" si="7"/>
        <v>465213.22</v>
      </c>
      <c r="AF118" s="1"/>
      <c r="AG118" s="55">
        <v>17062.259999999998</v>
      </c>
      <c r="AH118" s="55"/>
      <c r="AI118" s="55">
        <v>389183.73</v>
      </c>
      <c r="AJ118" s="55"/>
      <c r="AK118" s="55">
        <v>406245.99</v>
      </c>
      <c r="AL118" s="8">
        <f>+'Gen Rev'!AI118-'Gen Exp'!AE118+'Gen Exp'!AI118-AK118</f>
        <v>0</v>
      </c>
      <c r="AM118" s="21" t="str">
        <f>'Gen Rev'!A118</f>
        <v>Centerburg</v>
      </c>
      <c r="AN118" s="67" t="str">
        <f t="shared" si="5"/>
        <v>Centerburg</v>
      </c>
      <c r="AO118" s="67" t="b">
        <f t="shared" si="6"/>
        <v>1</v>
      </c>
    </row>
    <row r="119" spans="1:41" s="66" customFormat="1" ht="12" customHeight="1" x14ac:dyDescent="0.2">
      <c r="A119" s="1" t="s">
        <v>709</v>
      </c>
      <c r="B119" s="1"/>
      <c r="C119" s="1" t="s">
        <v>338</v>
      </c>
      <c r="D119" s="1"/>
      <c r="E119" s="48">
        <v>23888.79</v>
      </c>
      <c r="F119" s="48"/>
      <c r="G119" s="48">
        <v>0</v>
      </c>
      <c r="H119" s="48"/>
      <c r="I119" s="48">
        <v>0</v>
      </c>
      <c r="J119" s="48"/>
      <c r="K119" s="48">
        <v>0</v>
      </c>
      <c r="L119" s="48"/>
      <c r="M119" s="48">
        <v>0</v>
      </c>
      <c r="N119" s="48"/>
      <c r="O119" s="48">
        <v>0</v>
      </c>
      <c r="P119" s="48"/>
      <c r="Q119" s="48">
        <v>58741.440000000002</v>
      </c>
      <c r="R119" s="48"/>
      <c r="S119" s="48">
        <v>0</v>
      </c>
      <c r="T119" s="48"/>
      <c r="U119" s="48">
        <v>3653.07</v>
      </c>
      <c r="V119" s="48"/>
      <c r="W119" s="48">
        <v>1634.94</v>
      </c>
      <c r="X119" s="48"/>
      <c r="Y119" s="48">
        <v>1589.3</v>
      </c>
      <c r="Z119" s="48"/>
      <c r="AA119" s="48">
        <v>0</v>
      </c>
      <c r="AB119" s="48"/>
      <c r="AC119" s="48">
        <v>0</v>
      </c>
      <c r="AD119" s="48"/>
      <c r="AE119" s="48">
        <f t="shared" si="7"/>
        <v>89507.540000000023</v>
      </c>
      <c r="AF119" s="1"/>
      <c r="AG119" s="55">
        <v>-6392.43</v>
      </c>
      <c r="AH119" s="55"/>
      <c r="AI119" s="55">
        <v>12077.44</v>
      </c>
      <c r="AJ119" s="55"/>
      <c r="AK119" s="55">
        <v>5685.01</v>
      </c>
      <c r="AL119" s="8">
        <f>+'Gen Rev'!AI119-'Gen Exp'!AE119+'Gen Exp'!AI119-AK119</f>
        <v>-3.637978807091713E-11</v>
      </c>
      <c r="AM119" s="21" t="str">
        <f>'Gen Rev'!A119</f>
        <v>Centerville</v>
      </c>
      <c r="AN119" s="67" t="str">
        <f t="shared" si="5"/>
        <v>Centerville</v>
      </c>
      <c r="AO119" s="67" t="b">
        <f t="shared" si="6"/>
        <v>1</v>
      </c>
    </row>
    <row r="120" spans="1:41" ht="12" customHeight="1" x14ac:dyDescent="0.2">
      <c r="A120" s="1" t="s">
        <v>296</v>
      </c>
      <c r="C120" s="1" t="s">
        <v>293</v>
      </c>
      <c r="E120" s="48">
        <v>2702556</v>
      </c>
      <c r="F120" s="48"/>
      <c r="G120" s="48">
        <v>456765</v>
      </c>
      <c r="H120" s="48"/>
      <c r="I120" s="48">
        <v>87590</v>
      </c>
      <c r="J120" s="48"/>
      <c r="K120" s="48">
        <v>202683</v>
      </c>
      <c r="L120" s="48"/>
      <c r="M120" s="48">
        <v>402917</v>
      </c>
      <c r="N120" s="48"/>
      <c r="O120" s="48">
        <v>32317</v>
      </c>
      <c r="P120" s="48"/>
      <c r="Q120" s="48">
        <v>1146790</v>
      </c>
      <c r="R120" s="48"/>
      <c r="S120" s="48">
        <v>215542</v>
      </c>
      <c r="T120" s="48"/>
      <c r="U120" s="48">
        <v>0</v>
      </c>
      <c r="V120" s="48"/>
      <c r="W120" s="48">
        <v>0</v>
      </c>
      <c r="X120" s="48"/>
      <c r="Y120" s="48">
        <v>673685</v>
      </c>
      <c r="Z120" s="48"/>
      <c r="AA120" s="48">
        <v>0</v>
      </c>
      <c r="AB120" s="48"/>
      <c r="AC120" s="48">
        <v>3486</v>
      </c>
      <c r="AD120" s="48"/>
      <c r="AE120" s="48">
        <f t="shared" si="7"/>
        <v>5924331</v>
      </c>
      <c r="AF120" s="48"/>
      <c r="AG120" s="59"/>
      <c r="AH120" s="59"/>
      <c r="AI120" s="59"/>
      <c r="AJ120" s="59"/>
      <c r="AK120" s="59"/>
      <c r="AL120" s="8">
        <f>+'Gen Rev'!AI120-'Gen Exp'!AE120+'Gen Exp'!AI120-AK120</f>
        <v>-28224</v>
      </c>
      <c r="AM120" s="21" t="str">
        <f>'Gen Rev'!A120</f>
        <v>Chagrin Falls</v>
      </c>
      <c r="AN120" s="67" t="str">
        <f t="shared" si="5"/>
        <v>Chagrin Falls</v>
      </c>
      <c r="AO120" s="67" t="b">
        <f t="shared" si="6"/>
        <v>1</v>
      </c>
    </row>
    <row r="121" spans="1:41" s="67" customFormat="1" ht="12" customHeight="1" x14ac:dyDescent="0.2">
      <c r="A121" s="1" t="s">
        <v>288</v>
      </c>
      <c r="B121" s="1"/>
      <c r="C121" s="1" t="s">
        <v>289</v>
      </c>
      <c r="D121" s="1"/>
      <c r="E121" s="48">
        <v>607</v>
      </c>
      <c r="F121" s="48"/>
      <c r="G121" s="48">
        <v>254</v>
      </c>
      <c r="H121" s="48"/>
      <c r="I121" s="48">
        <v>0</v>
      </c>
      <c r="J121" s="48"/>
      <c r="K121" s="48">
        <v>0</v>
      </c>
      <c r="L121" s="48"/>
      <c r="M121" s="48">
        <v>0</v>
      </c>
      <c r="N121" s="48"/>
      <c r="O121" s="48">
        <v>0</v>
      </c>
      <c r="P121" s="48"/>
      <c r="Q121" s="48">
        <v>11507</v>
      </c>
      <c r="R121" s="48"/>
      <c r="S121" s="48">
        <v>0</v>
      </c>
      <c r="T121" s="48"/>
      <c r="U121" s="48">
        <v>0</v>
      </c>
      <c r="V121" s="48"/>
      <c r="W121" s="48">
        <v>0</v>
      </c>
      <c r="X121" s="48"/>
      <c r="Y121" s="48">
        <v>0</v>
      </c>
      <c r="Z121" s="48"/>
      <c r="AA121" s="48">
        <v>0</v>
      </c>
      <c r="AB121" s="48"/>
      <c r="AC121" s="48">
        <v>0</v>
      </c>
      <c r="AD121" s="48"/>
      <c r="AE121" s="48">
        <f t="shared" si="7"/>
        <v>12368</v>
      </c>
      <c r="AF121" s="48"/>
      <c r="AG121" s="59"/>
      <c r="AH121" s="59"/>
      <c r="AI121" s="59"/>
      <c r="AJ121" s="59"/>
      <c r="AK121" s="59"/>
      <c r="AL121" s="8">
        <f>+'Gen Rev'!AI121-'Gen Exp'!AE121+'Gen Exp'!AI121-AK121</f>
        <v>-4409</v>
      </c>
      <c r="AM121" s="21" t="str">
        <f>'Gen Rev'!A121</f>
        <v>Chatfield</v>
      </c>
      <c r="AN121" s="67" t="str">
        <f t="shared" si="5"/>
        <v>Chatfield</v>
      </c>
      <c r="AO121" s="67" t="b">
        <f t="shared" si="6"/>
        <v>1</v>
      </c>
    </row>
    <row r="122" spans="1:41" ht="12" customHeight="1" x14ac:dyDescent="0.2">
      <c r="A122" s="1" t="s">
        <v>255</v>
      </c>
      <c r="C122" s="1" t="s">
        <v>253</v>
      </c>
      <c r="E122" s="48">
        <v>8800</v>
      </c>
      <c r="F122" s="48"/>
      <c r="G122" s="48">
        <v>0</v>
      </c>
      <c r="H122" s="48"/>
      <c r="I122" s="48">
        <v>0</v>
      </c>
      <c r="J122" s="48"/>
      <c r="K122" s="48">
        <v>0</v>
      </c>
      <c r="L122" s="48"/>
      <c r="M122" s="48">
        <v>0</v>
      </c>
      <c r="N122" s="48"/>
      <c r="O122" s="48">
        <v>0</v>
      </c>
      <c r="P122" s="48"/>
      <c r="Q122" s="48">
        <v>56557.05</v>
      </c>
      <c r="R122" s="48"/>
      <c r="S122" s="48">
        <v>0</v>
      </c>
      <c r="T122" s="48"/>
      <c r="U122" s="48">
        <v>0</v>
      </c>
      <c r="V122" s="48"/>
      <c r="W122" s="48">
        <v>0</v>
      </c>
      <c r="X122" s="48"/>
      <c r="Y122" s="48">
        <v>0</v>
      </c>
      <c r="Z122" s="48"/>
      <c r="AA122" s="48">
        <v>0</v>
      </c>
      <c r="AB122" s="48"/>
      <c r="AC122" s="48">
        <v>0</v>
      </c>
      <c r="AD122" s="48"/>
      <c r="AE122" s="48">
        <f t="shared" si="7"/>
        <v>65357.05</v>
      </c>
      <c r="AG122" s="55">
        <v>11770.05</v>
      </c>
      <c r="AI122" s="55">
        <v>8235.4699999999993</v>
      </c>
      <c r="AK122" s="55">
        <v>20005.52</v>
      </c>
      <c r="AL122" s="8">
        <f>+'Gen Rev'!AI122-'Gen Exp'!AE122+'Gen Exp'!AI122-AK122</f>
        <v>0</v>
      </c>
      <c r="AM122" s="21" t="str">
        <f>'Gen Rev'!A122</f>
        <v>Chauncey</v>
      </c>
      <c r="AN122" s="67" t="str">
        <f t="shared" si="5"/>
        <v>Chauncey</v>
      </c>
      <c r="AO122" s="67" t="b">
        <f t="shared" si="6"/>
        <v>1</v>
      </c>
    </row>
    <row r="123" spans="1:41" s="67" customFormat="1" ht="12" customHeight="1" x14ac:dyDescent="0.2">
      <c r="A123" s="1" t="s">
        <v>405</v>
      </c>
      <c r="B123" s="1"/>
      <c r="C123" s="1" t="s">
        <v>406</v>
      </c>
      <c r="D123" s="1"/>
      <c r="E123" s="48">
        <v>123318.71</v>
      </c>
      <c r="F123" s="48"/>
      <c r="G123" s="48">
        <v>0</v>
      </c>
      <c r="H123" s="48"/>
      <c r="I123" s="48">
        <v>0</v>
      </c>
      <c r="J123" s="48"/>
      <c r="K123" s="48">
        <v>0</v>
      </c>
      <c r="L123" s="48"/>
      <c r="M123" s="48">
        <v>0</v>
      </c>
      <c r="N123" s="48"/>
      <c r="O123" s="48">
        <v>0</v>
      </c>
      <c r="P123" s="48"/>
      <c r="Q123" s="48">
        <v>83765.97</v>
      </c>
      <c r="R123" s="48"/>
      <c r="S123" s="48">
        <v>1000</v>
      </c>
      <c r="T123" s="48"/>
      <c r="U123" s="48">
        <v>0</v>
      </c>
      <c r="V123" s="48"/>
      <c r="W123" s="48">
        <v>0</v>
      </c>
      <c r="X123" s="48"/>
      <c r="Y123" s="48">
        <v>0</v>
      </c>
      <c r="Z123" s="48"/>
      <c r="AA123" s="48">
        <v>0</v>
      </c>
      <c r="AB123" s="48"/>
      <c r="AC123" s="48">
        <v>137.36000000000001</v>
      </c>
      <c r="AD123" s="48"/>
      <c r="AE123" s="48">
        <f t="shared" si="7"/>
        <v>208222.03999999998</v>
      </c>
      <c r="AF123" s="1"/>
      <c r="AG123" s="55">
        <v>-6147.81</v>
      </c>
      <c r="AH123" s="55"/>
      <c r="AI123" s="55">
        <v>9885.07</v>
      </c>
      <c r="AJ123" s="55"/>
      <c r="AK123" s="55">
        <v>3737.26</v>
      </c>
      <c r="AL123" s="8">
        <f>+'Gen Rev'!AI123-'Gen Exp'!AE123+'Gen Exp'!AI123-AK123</f>
        <v>3.092281986027956E-11</v>
      </c>
      <c r="AM123" s="21" t="str">
        <f>'Gen Rev'!A123</f>
        <v>Chesapeake</v>
      </c>
      <c r="AN123" s="67" t="str">
        <f t="shared" si="5"/>
        <v>Chesapeake</v>
      </c>
      <c r="AO123" s="67" t="b">
        <f t="shared" si="6"/>
        <v>1</v>
      </c>
    </row>
    <row r="124" spans="1:41" ht="12" customHeight="1" x14ac:dyDescent="0.2">
      <c r="A124" s="1" t="s">
        <v>74</v>
      </c>
      <c r="C124" s="1" t="s">
        <v>338</v>
      </c>
      <c r="E124" s="48">
        <v>10057.620000000001</v>
      </c>
      <c r="F124" s="48"/>
      <c r="G124" s="48">
        <v>0</v>
      </c>
      <c r="H124" s="48"/>
      <c r="I124" s="48">
        <v>25</v>
      </c>
      <c r="J124" s="48"/>
      <c r="K124" s="48">
        <v>989.99</v>
      </c>
      <c r="L124" s="48"/>
      <c r="M124" s="48">
        <v>0</v>
      </c>
      <c r="N124" s="48"/>
      <c r="O124" s="48">
        <v>49</v>
      </c>
      <c r="P124" s="48"/>
      <c r="Q124" s="48">
        <v>39895.410000000003</v>
      </c>
      <c r="R124" s="48"/>
      <c r="S124" s="48">
        <v>0</v>
      </c>
      <c r="T124" s="48"/>
      <c r="U124" s="48">
        <v>0</v>
      </c>
      <c r="V124" s="48"/>
      <c r="W124" s="48">
        <v>0</v>
      </c>
      <c r="X124" s="48"/>
      <c r="Y124" s="48">
        <v>0</v>
      </c>
      <c r="Z124" s="48"/>
      <c r="AA124" s="48">
        <v>0</v>
      </c>
      <c r="AB124" s="48"/>
      <c r="AC124" s="48">
        <v>0</v>
      </c>
      <c r="AD124" s="48"/>
      <c r="AE124" s="48">
        <f t="shared" si="7"/>
        <v>51017.020000000004</v>
      </c>
      <c r="AG124" s="55">
        <v>-1903.96</v>
      </c>
      <c r="AI124" s="55">
        <v>78293.17</v>
      </c>
      <c r="AK124" s="55">
        <v>76389.210000000006</v>
      </c>
      <c r="AL124" s="8">
        <f>+'Gen Rev'!AI124-'Gen Exp'!AE124+'Gen Exp'!AI124-AK124</f>
        <v>0</v>
      </c>
      <c r="AM124" s="21" t="str">
        <f>'Gen Rev'!A124</f>
        <v>Cheshire</v>
      </c>
      <c r="AN124" s="67" t="str">
        <f t="shared" si="5"/>
        <v>Cheshire</v>
      </c>
      <c r="AO124" s="67" t="b">
        <f t="shared" si="6"/>
        <v>1</v>
      </c>
    </row>
    <row r="125" spans="1:41" s="67" customFormat="1" ht="12" customHeight="1" x14ac:dyDescent="0.2">
      <c r="A125" s="1" t="s">
        <v>764</v>
      </c>
      <c r="B125" s="1"/>
      <c r="C125" s="1" t="s">
        <v>765</v>
      </c>
      <c r="D125" s="1"/>
      <c r="E125" s="48">
        <v>1556.3</v>
      </c>
      <c r="F125" s="48"/>
      <c r="G125" s="48">
        <v>0</v>
      </c>
      <c r="H125" s="48"/>
      <c r="I125" s="48">
        <v>220.37</v>
      </c>
      <c r="J125" s="48"/>
      <c r="K125" s="48">
        <v>0</v>
      </c>
      <c r="L125" s="48"/>
      <c r="M125" s="48">
        <v>6736.47</v>
      </c>
      <c r="N125" s="48"/>
      <c r="O125" s="48">
        <v>0</v>
      </c>
      <c r="P125" s="48"/>
      <c r="Q125" s="48">
        <v>3084.07</v>
      </c>
      <c r="R125" s="48"/>
      <c r="S125" s="48">
        <v>0</v>
      </c>
      <c r="T125" s="48"/>
      <c r="U125" s="48">
        <v>0</v>
      </c>
      <c r="V125" s="48"/>
      <c r="W125" s="48">
        <v>165.28</v>
      </c>
      <c r="X125" s="48"/>
      <c r="Y125" s="48">
        <v>0</v>
      </c>
      <c r="Z125" s="48"/>
      <c r="AA125" s="48">
        <v>0</v>
      </c>
      <c r="AB125" s="48"/>
      <c r="AC125" s="48">
        <v>0</v>
      </c>
      <c r="AD125" s="48"/>
      <c r="AE125" s="48">
        <f t="shared" si="7"/>
        <v>11762.49</v>
      </c>
      <c r="AF125" s="1"/>
      <c r="AG125" s="55">
        <v>-687.7</v>
      </c>
      <c r="AH125" s="55"/>
      <c r="AI125" s="55">
        <v>8845.08</v>
      </c>
      <c r="AJ125" s="55"/>
      <c r="AK125" s="55">
        <v>8157.38</v>
      </c>
      <c r="AL125" s="8">
        <f>+'Gen Rev'!AI125-'Gen Exp'!AE125+'Gen Exp'!AI125-AK125</f>
        <v>0</v>
      </c>
      <c r="AM125" s="21" t="str">
        <f>'Gen Rev'!A125</f>
        <v>Chesterhill</v>
      </c>
      <c r="AN125" s="67" t="str">
        <f t="shared" si="5"/>
        <v>Chesterhill</v>
      </c>
      <c r="AO125" s="67" t="b">
        <f t="shared" si="6"/>
        <v>1</v>
      </c>
    </row>
    <row r="126" spans="1:41" s="67" customFormat="1" ht="12" customHeight="1" x14ac:dyDescent="0.2">
      <c r="A126" s="1" t="s">
        <v>157</v>
      </c>
      <c r="B126" s="1"/>
      <c r="C126" s="1" t="s">
        <v>226</v>
      </c>
      <c r="D126" s="1"/>
      <c r="E126" s="48">
        <v>6791.98</v>
      </c>
      <c r="F126" s="48"/>
      <c r="G126" s="48">
        <v>744.71</v>
      </c>
      <c r="H126" s="48"/>
      <c r="I126" s="48">
        <v>475</v>
      </c>
      <c r="J126" s="48"/>
      <c r="K126" s="48">
        <v>1580.12</v>
      </c>
      <c r="L126" s="48"/>
      <c r="M126" s="48">
        <v>600</v>
      </c>
      <c r="N126" s="48"/>
      <c r="O126" s="48">
        <v>512.27</v>
      </c>
      <c r="P126" s="48"/>
      <c r="Q126" s="48">
        <v>30058.87</v>
      </c>
      <c r="R126" s="48"/>
      <c r="S126" s="48">
        <v>1589.19</v>
      </c>
      <c r="T126" s="48"/>
      <c r="U126" s="48">
        <v>0</v>
      </c>
      <c r="V126" s="48"/>
      <c r="W126" s="48">
        <v>0</v>
      </c>
      <c r="X126" s="48"/>
      <c r="Y126" s="48">
        <v>7920</v>
      </c>
      <c r="Z126" s="48"/>
      <c r="AA126" s="48">
        <v>0</v>
      </c>
      <c r="AB126" s="48"/>
      <c r="AC126" s="48">
        <v>3853.74</v>
      </c>
      <c r="AD126" s="48"/>
      <c r="AE126" s="48">
        <f t="shared" si="7"/>
        <v>54125.88</v>
      </c>
      <c r="AF126" s="1"/>
      <c r="AG126" s="55">
        <v>-7922.22</v>
      </c>
      <c r="AH126" s="55"/>
      <c r="AI126" s="55">
        <v>32242.560000000001</v>
      </c>
      <c r="AJ126" s="55"/>
      <c r="AK126" s="55">
        <v>24320.34</v>
      </c>
      <c r="AL126" s="8">
        <f>+'Gen Rev'!AI126-'Gen Exp'!AE126+'Gen Exp'!AI126-AK126</f>
        <v>0</v>
      </c>
      <c r="AM126" s="21" t="str">
        <f>'Gen Rev'!A126</f>
        <v>Chesterville</v>
      </c>
      <c r="AN126" s="67" t="str">
        <f t="shared" si="5"/>
        <v>Chesterville</v>
      </c>
      <c r="AO126" s="67" t="b">
        <f t="shared" si="6"/>
        <v>1</v>
      </c>
    </row>
    <row r="127" spans="1:41" ht="12" customHeight="1" x14ac:dyDescent="0.2">
      <c r="A127" s="1" t="s">
        <v>721</v>
      </c>
      <c r="C127" s="1" t="s">
        <v>433</v>
      </c>
      <c r="E127" s="48">
        <v>6650.96</v>
      </c>
      <c r="F127" s="48"/>
      <c r="G127" s="48">
        <v>1906.46</v>
      </c>
      <c r="H127" s="48"/>
      <c r="I127" s="48">
        <v>881.26</v>
      </c>
      <c r="J127" s="48"/>
      <c r="K127" s="48">
        <v>389</v>
      </c>
      <c r="L127" s="48"/>
      <c r="M127" s="48">
        <v>11785.31</v>
      </c>
      <c r="N127" s="48"/>
      <c r="O127" s="48">
        <v>29186.97</v>
      </c>
      <c r="P127" s="48"/>
      <c r="Q127" s="48">
        <v>32016.19</v>
      </c>
      <c r="R127" s="48"/>
      <c r="S127" s="48">
        <v>39.979999999999997</v>
      </c>
      <c r="T127" s="48"/>
      <c r="U127" s="48">
        <v>0</v>
      </c>
      <c r="V127" s="48"/>
      <c r="W127" s="48">
        <v>0</v>
      </c>
      <c r="X127" s="48"/>
      <c r="Y127" s="48">
        <v>0</v>
      </c>
      <c r="Z127" s="48"/>
      <c r="AA127" s="48">
        <v>0</v>
      </c>
      <c r="AB127" s="48"/>
      <c r="AC127" s="48">
        <v>0</v>
      </c>
      <c r="AD127" s="48"/>
      <c r="AE127" s="48">
        <f t="shared" ref="AE127:AE161" si="8">SUM(E127:AC127)</f>
        <v>82856.12999999999</v>
      </c>
      <c r="AG127" s="55">
        <v>-19431.060000000001</v>
      </c>
      <c r="AI127" s="55">
        <v>114306.01</v>
      </c>
      <c r="AK127" s="55">
        <v>94874.95</v>
      </c>
      <c r="AL127" s="8">
        <f>+'Gen Rev'!AI127-'Gen Exp'!AE127+'Gen Exp'!AI127-AK127</f>
        <v>0</v>
      </c>
      <c r="AM127" s="21" t="str">
        <f>'Gen Rev'!A127</f>
        <v>Chickasaw</v>
      </c>
      <c r="AN127" s="67" t="str">
        <f t="shared" si="5"/>
        <v>Chickasaw</v>
      </c>
      <c r="AO127" s="67" t="b">
        <f t="shared" si="6"/>
        <v>1</v>
      </c>
    </row>
    <row r="128" spans="1:41" s="67" customFormat="1" ht="12" customHeight="1" x14ac:dyDescent="0.2">
      <c r="A128" s="1" t="s">
        <v>766</v>
      </c>
      <c r="B128" s="1"/>
      <c r="C128" s="1" t="s">
        <v>277</v>
      </c>
      <c r="D128" s="7"/>
      <c r="E128" s="48">
        <v>4997</v>
      </c>
      <c r="F128" s="48"/>
      <c r="G128" s="48">
        <v>0</v>
      </c>
      <c r="H128" s="48"/>
      <c r="I128" s="48">
        <v>1000</v>
      </c>
      <c r="J128" s="48"/>
      <c r="K128" s="48">
        <v>0</v>
      </c>
      <c r="L128" s="48"/>
      <c r="M128" s="48">
        <v>3133</v>
      </c>
      <c r="N128" s="48"/>
      <c r="O128" s="48">
        <v>0</v>
      </c>
      <c r="P128" s="48"/>
      <c r="Q128" s="48">
        <v>8003</v>
      </c>
      <c r="R128" s="48"/>
      <c r="S128" s="48">
        <v>0</v>
      </c>
      <c r="T128" s="48"/>
      <c r="U128" s="48">
        <v>0</v>
      </c>
      <c r="V128" s="48"/>
      <c r="W128" s="48">
        <v>0</v>
      </c>
      <c r="X128" s="48"/>
      <c r="Y128" s="48">
        <v>0</v>
      </c>
      <c r="Z128" s="48"/>
      <c r="AA128" s="48">
        <v>0</v>
      </c>
      <c r="AB128" s="48"/>
      <c r="AC128" s="48">
        <v>0</v>
      </c>
      <c r="AD128" s="48"/>
      <c r="AE128" s="48">
        <f t="shared" si="8"/>
        <v>17133</v>
      </c>
      <c r="AF128" s="48"/>
      <c r="AG128" s="59"/>
      <c r="AH128" s="59"/>
      <c r="AI128" s="59"/>
      <c r="AJ128" s="59"/>
      <c r="AK128" s="59"/>
      <c r="AL128" s="8">
        <f>+'Gen Rev'!AI128-'Gen Exp'!AE128+'Gen Exp'!AI128-AK128</f>
        <v>1083</v>
      </c>
      <c r="AM128" s="21" t="str">
        <f>'Gen Rev'!A128</f>
        <v>Chilo</v>
      </c>
      <c r="AN128" s="67" t="str">
        <f t="shared" si="5"/>
        <v>Chilo</v>
      </c>
      <c r="AO128" s="67" t="b">
        <f t="shared" si="6"/>
        <v>1</v>
      </c>
    </row>
    <row r="129" spans="1:41" s="67" customFormat="1" ht="12" customHeight="1" x14ac:dyDescent="0.2">
      <c r="A129" s="1" t="s">
        <v>142</v>
      </c>
      <c r="B129" s="1"/>
      <c r="C129" s="1" t="s">
        <v>823</v>
      </c>
      <c r="D129" s="1"/>
      <c r="E129" s="48">
        <v>46762.52</v>
      </c>
      <c r="F129" s="48"/>
      <c r="G129" s="48">
        <v>0</v>
      </c>
      <c r="H129" s="48"/>
      <c r="I129" s="48">
        <v>30848.92</v>
      </c>
      <c r="J129" s="48"/>
      <c r="K129" s="48">
        <v>20878.03</v>
      </c>
      <c r="L129" s="48"/>
      <c r="M129" s="48">
        <v>0</v>
      </c>
      <c r="N129" s="48"/>
      <c r="O129" s="48">
        <v>0</v>
      </c>
      <c r="P129" s="48"/>
      <c r="Q129" s="48">
        <v>66015.23</v>
      </c>
      <c r="R129" s="48"/>
      <c r="S129" s="48">
        <v>0</v>
      </c>
      <c r="T129" s="48"/>
      <c r="U129" s="48">
        <v>0</v>
      </c>
      <c r="V129" s="48"/>
      <c r="W129" s="48">
        <v>0</v>
      </c>
      <c r="X129" s="48"/>
      <c r="Y129" s="48">
        <v>0</v>
      </c>
      <c r="Z129" s="48"/>
      <c r="AA129" s="48">
        <v>0</v>
      </c>
      <c r="AB129" s="48"/>
      <c r="AC129" s="48">
        <v>0</v>
      </c>
      <c r="AD129" s="48"/>
      <c r="AE129" s="48">
        <f t="shared" si="8"/>
        <v>164504.70000000001</v>
      </c>
      <c r="AF129" s="1"/>
      <c r="AG129" s="55">
        <v>6353.59</v>
      </c>
      <c r="AH129" s="55"/>
      <c r="AI129" s="55">
        <v>162921.71</v>
      </c>
      <c r="AJ129" s="55"/>
      <c r="AK129" s="55">
        <v>169275.3</v>
      </c>
      <c r="AL129" s="8">
        <f>+'Gen Rev'!AI129-'Gen Exp'!AE129+'Gen Exp'!AI129-AK129</f>
        <v>0</v>
      </c>
      <c r="AM129" s="21" t="str">
        <f>'Gen Rev'!A129</f>
        <v>Chippewa Lake</v>
      </c>
      <c r="AN129" s="67" t="str">
        <f t="shared" si="5"/>
        <v>Chippewa Lake</v>
      </c>
      <c r="AO129" s="67" t="b">
        <f t="shared" si="6"/>
        <v>1</v>
      </c>
    </row>
    <row r="130" spans="1:41" s="67" customFormat="1" ht="12" customHeight="1" x14ac:dyDescent="0.2">
      <c r="A130" s="1" t="s">
        <v>31</v>
      </c>
      <c r="B130" s="1"/>
      <c r="C130" s="1" t="s">
        <v>269</v>
      </c>
      <c r="D130" s="1"/>
      <c r="E130" s="48">
        <v>3440.03</v>
      </c>
      <c r="F130" s="48"/>
      <c r="G130" s="48">
        <v>0</v>
      </c>
      <c r="H130" s="48"/>
      <c r="I130" s="48">
        <v>79</v>
      </c>
      <c r="J130" s="48"/>
      <c r="K130" s="48">
        <v>0</v>
      </c>
      <c r="L130" s="48"/>
      <c r="M130" s="48">
        <v>0</v>
      </c>
      <c r="N130" s="48"/>
      <c r="O130" s="48">
        <v>2493.94</v>
      </c>
      <c r="P130" s="48"/>
      <c r="Q130" s="48">
        <v>29149.89</v>
      </c>
      <c r="R130" s="48"/>
      <c r="S130" s="48">
        <v>0</v>
      </c>
      <c r="T130" s="48"/>
      <c r="U130" s="48">
        <v>0</v>
      </c>
      <c r="V130" s="48"/>
      <c r="W130" s="48">
        <v>0</v>
      </c>
      <c r="X130" s="48"/>
      <c r="Y130" s="48">
        <v>0</v>
      </c>
      <c r="Z130" s="48"/>
      <c r="AA130" s="48">
        <v>0</v>
      </c>
      <c r="AB130" s="48"/>
      <c r="AC130" s="48">
        <v>1112.94</v>
      </c>
      <c r="AD130" s="48"/>
      <c r="AE130" s="48">
        <f t="shared" si="8"/>
        <v>36275.800000000003</v>
      </c>
      <c r="AF130" s="1"/>
      <c r="AG130" s="55">
        <v>-5760.61</v>
      </c>
      <c r="AH130" s="55"/>
      <c r="AI130" s="55">
        <v>52770.85</v>
      </c>
      <c r="AJ130" s="55"/>
      <c r="AK130" s="55">
        <v>47010.239999999998</v>
      </c>
      <c r="AL130" s="8">
        <f>+'Gen Rev'!AI130-'Gen Exp'!AE130+'Gen Exp'!AI130-AK130</f>
        <v>0</v>
      </c>
      <c r="AM130" s="21" t="str">
        <f>'Gen Rev'!A130</f>
        <v>Christiansburg</v>
      </c>
      <c r="AN130" s="67" t="str">
        <f t="shared" si="5"/>
        <v>Christiansburg</v>
      </c>
      <c r="AO130" s="67" t="b">
        <f t="shared" si="6"/>
        <v>1</v>
      </c>
    </row>
    <row r="131" spans="1:41" s="67" customFormat="1" ht="12" customHeight="1" x14ac:dyDescent="0.2">
      <c r="A131" s="1" t="s">
        <v>845</v>
      </c>
      <c r="B131" s="1"/>
      <c r="C131" s="1" t="s">
        <v>441</v>
      </c>
      <c r="D131" s="7"/>
      <c r="E131" s="48">
        <v>75436</v>
      </c>
      <c r="F131" s="48"/>
      <c r="G131" s="48">
        <v>0</v>
      </c>
      <c r="H131" s="48"/>
      <c r="I131" s="48">
        <v>0</v>
      </c>
      <c r="J131" s="48"/>
      <c r="K131" s="48">
        <v>0</v>
      </c>
      <c r="L131" s="48"/>
      <c r="M131" s="48">
        <v>0</v>
      </c>
      <c r="N131" s="48"/>
      <c r="O131" s="48">
        <v>0</v>
      </c>
      <c r="P131" s="48"/>
      <c r="Q131" s="48">
        <v>0</v>
      </c>
      <c r="R131" s="48"/>
      <c r="S131" s="48">
        <v>0</v>
      </c>
      <c r="T131" s="48"/>
      <c r="U131" s="48">
        <v>0</v>
      </c>
      <c r="V131" s="48"/>
      <c r="W131" s="48">
        <v>0</v>
      </c>
      <c r="X131" s="48"/>
      <c r="Y131" s="48">
        <v>0</v>
      </c>
      <c r="Z131" s="48"/>
      <c r="AA131" s="48">
        <v>0</v>
      </c>
      <c r="AB131" s="48"/>
      <c r="AC131" s="48">
        <v>0</v>
      </c>
      <c r="AD131" s="48"/>
      <c r="AE131" s="48">
        <f t="shared" si="8"/>
        <v>75436</v>
      </c>
      <c r="AF131" s="48"/>
      <c r="AG131" s="59"/>
      <c r="AH131" s="59"/>
      <c r="AI131" s="59"/>
      <c r="AJ131" s="59"/>
      <c r="AK131" s="59"/>
      <c r="AL131" s="8">
        <f>+'Gen Rev'!AI131-'Gen Exp'!AE131+'Gen Exp'!AI131-AK131</f>
        <v>236406</v>
      </c>
      <c r="AM131" s="21" t="str">
        <f>'Gen Rev'!A131</f>
        <v>Clarington</v>
      </c>
      <c r="AN131" s="67" t="str">
        <f t="shared" si="5"/>
        <v>Clarington</v>
      </c>
      <c r="AO131" s="67" t="b">
        <f t="shared" si="6"/>
        <v>1</v>
      </c>
    </row>
    <row r="132" spans="1:41" ht="12" customHeight="1" x14ac:dyDescent="0.2">
      <c r="A132" s="1" t="s">
        <v>196</v>
      </c>
      <c r="C132" s="1" t="s">
        <v>485</v>
      </c>
      <c r="E132" s="48">
        <v>4144</v>
      </c>
      <c r="F132" s="48"/>
      <c r="G132" s="48">
        <v>0</v>
      </c>
      <c r="H132" s="48"/>
      <c r="I132" s="48">
        <v>2794.98</v>
      </c>
      <c r="J132" s="48"/>
      <c r="K132" s="48">
        <v>0</v>
      </c>
      <c r="L132" s="48"/>
      <c r="M132" s="48">
        <v>0</v>
      </c>
      <c r="N132" s="48"/>
      <c r="O132" s="48">
        <v>0</v>
      </c>
      <c r="P132" s="48"/>
      <c r="Q132" s="48">
        <v>20738.45</v>
      </c>
      <c r="R132" s="48"/>
      <c r="S132" s="48">
        <v>2067</v>
      </c>
      <c r="T132" s="48"/>
      <c r="U132" s="48">
        <v>0</v>
      </c>
      <c r="V132" s="48"/>
      <c r="W132" s="48">
        <v>0</v>
      </c>
      <c r="X132" s="48"/>
      <c r="Y132" s="48">
        <v>0</v>
      </c>
      <c r="Z132" s="48"/>
      <c r="AA132" s="48">
        <v>0</v>
      </c>
      <c r="AB132" s="48"/>
      <c r="AC132" s="48">
        <v>0</v>
      </c>
      <c r="AD132" s="48"/>
      <c r="AE132" s="48">
        <f t="shared" si="8"/>
        <v>29744.43</v>
      </c>
      <c r="AG132" s="55">
        <v>8006.75</v>
      </c>
      <c r="AI132" s="55">
        <v>17069.52</v>
      </c>
      <c r="AK132" s="55">
        <v>25076.27</v>
      </c>
      <c r="AL132" s="8">
        <f>+'Gen Rev'!AI132-'Gen Exp'!AE132+'Gen Exp'!AI132-AK132</f>
        <v>0</v>
      </c>
      <c r="AM132" s="21" t="str">
        <f>'Gen Rev'!A132</f>
        <v>Clarksburg</v>
      </c>
      <c r="AN132" s="67" t="str">
        <f t="shared" si="5"/>
        <v>Clarksburg</v>
      </c>
      <c r="AO132" s="67" t="b">
        <f t="shared" si="6"/>
        <v>1</v>
      </c>
    </row>
    <row r="133" spans="1:41" ht="12" customHeight="1" x14ac:dyDescent="0.2">
      <c r="A133" s="1" t="s">
        <v>165</v>
      </c>
      <c r="C133" s="1" t="s">
        <v>192</v>
      </c>
      <c r="E133" s="48">
        <v>14285.82</v>
      </c>
      <c r="F133" s="48"/>
      <c r="G133" s="48">
        <v>0</v>
      </c>
      <c r="H133" s="48"/>
      <c r="I133" s="48">
        <v>876.66</v>
      </c>
      <c r="J133" s="48"/>
      <c r="K133" s="48">
        <v>17.989999999999998</v>
      </c>
      <c r="L133" s="48"/>
      <c r="M133" s="48">
        <v>23055.26</v>
      </c>
      <c r="N133" s="48"/>
      <c r="O133" s="48">
        <v>9021.07</v>
      </c>
      <c r="P133" s="48"/>
      <c r="Q133" s="48">
        <v>28011.29</v>
      </c>
      <c r="R133" s="48"/>
      <c r="S133" s="48">
        <v>0</v>
      </c>
      <c r="T133" s="48"/>
      <c r="U133" s="48">
        <v>0</v>
      </c>
      <c r="V133" s="48"/>
      <c r="W133" s="48">
        <v>0</v>
      </c>
      <c r="X133" s="48"/>
      <c r="Y133" s="48">
        <v>0</v>
      </c>
      <c r="Z133" s="48"/>
      <c r="AA133" s="48">
        <v>0</v>
      </c>
      <c r="AB133" s="48"/>
      <c r="AC133" s="48">
        <v>0</v>
      </c>
      <c r="AD133" s="48"/>
      <c r="AE133" s="48">
        <f t="shared" si="8"/>
        <v>75268.09</v>
      </c>
      <c r="AG133" s="55">
        <v>-3354.54</v>
      </c>
      <c r="AI133" s="55">
        <v>98763.05</v>
      </c>
      <c r="AK133" s="55">
        <v>95408.51</v>
      </c>
      <c r="AL133" s="8">
        <f>+'Gen Rev'!AI133-'Gen Exp'!AE133+'Gen Exp'!AI133-AK133</f>
        <v>0</v>
      </c>
      <c r="AM133" s="21" t="str">
        <f>'Gen Rev'!A133</f>
        <v>Clay Center</v>
      </c>
      <c r="AN133" s="67" t="str">
        <f t="shared" si="5"/>
        <v>Clay Center</v>
      </c>
      <c r="AO133" s="67" t="b">
        <f t="shared" si="6"/>
        <v>1</v>
      </c>
    </row>
    <row r="134" spans="1:41" ht="12" customHeight="1" x14ac:dyDescent="0.2">
      <c r="A134" s="1" t="s">
        <v>722</v>
      </c>
      <c r="C134" s="1" t="s">
        <v>351</v>
      </c>
      <c r="E134" s="48">
        <v>431091.42</v>
      </c>
      <c r="F134" s="48"/>
      <c r="G134" s="48">
        <v>3109.39</v>
      </c>
      <c r="H134" s="48"/>
      <c r="I134" s="48">
        <v>2537.0100000000002</v>
      </c>
      <c r="J134" s="48"/>
      <c r="K134" s="48">
        <v>39692.239999999998</v>
      </c>
      <c r="L134" s="48"/>
      <c r="M134" s="48">
        <v>5960.25</v>
      </c>
      <c r="N134" s="48"/>
      <c r="O134" s="48">
        <v>350326.56</v>
      </c>
      <c r="P134" s="48"/>
      <c r="Q134" s="48">
        <v>239429.64</v>
      </c>
      <c r="R134" s="48"/>
      <c r="S134" s="48">
        <v>0</v>
      </c>
      <c r="T134" s="48"/>
      <c r="U134" s="48">
        <v>31945.03</v>
      </c>
      <c r="V134" s="48"/>
      <c r="W134" s="48">
        <v>7284.72</v>
      </c>
      <c r="X134" s="48"/>
      <c r="Y134" s="48">
        <v>4900</v>
      </c>
      <c r="Z134" s="48"/>
      <c r="AA134" s="48">
        <v>0</v>
      </c>
      <c r="AB134" s="48"/>
      <c r="AC134" s="48">
        <v>0</v>
      </c>
      <c r="AD134" s="48"/>
      <c r="AE134" s="48">
        <f t="shared" si="8"/>
        <v>1116276.26</v>
      </c>
      <c r="AG134" s="55">
        <v>9608.92</v>
      </c>
      <c r="AI134" s="55">
        <v>346113.58</v>
      </c>
      <c r="AK134" s="55">
        <v>355722.5</v>
      </c>
      <c r="AL134" s="8">
        <f>+'Gen Rev'!AI134-'Gen Exp'!AE134+'Gen Exp'!AI134-AK134</f>
        <v>0</v>
      </c>
      <c r="AM134" s="21" t="str">
        <f>'Gen Rev'!A134</f>
        <v>Cleves</v>
      </c>
      <c r="AN134" s="67" t="str">
        <f t="shared" si="5"/>
        <v>Cleves</v>
      </c>
      <c r="AO134" s="67" t="b">
        <f t="shared" si="6"/>
        <v>1</v>
      </c>
    </row>
    <row r="135" spans="1:41" s="67" customFormat="1" ht="12" customHeight="1" x14ac:dyDescent="0.2">
      <c r="A135" s="1" t="s">
        <v>346</v>
      </c>
      <c r="B135" s="1"/>
      <c r="C135" s="1" t="s">
        <v>347</v>
      </c>
      <c r="D135" s="1"/>
      <c r="E135" s="48">
        <v>4056</v>
      </c>
      <c r="F135" s="48"/>
      <c r="G135" s="48">
        <v>171</v>
      </c>
      <c r="H135" s="48"/>
      <c r="I135" s="48">
        <v>50</v>
      </c>
      <c r="J135" s="48"/>
      <c r="K135" s="48">
        <v>16</v>
      </c>
      <c r="L135" s="48"/>
      <c r="M135" s="48">
        <v>0</v>
      </c>
      <c r="N135" s="48"/>
      <c r="O135" s="48">
        <v>0</v>
      </c>
      <c r="P135" s="48"/>
      <c r="Q135" s="48">
        <v>14209</v>
      </c>
      <c r="R135" s="48"/>
      <c r="S135" s="48">
        <v>0</v>
      </c>
      <c r="T135" s="48"/>
      <c r="U135" s="48">
        <v>0</v>
      </c>
      <c r="V135" s="48"/>
      <c r="W135" s="48">
        <v>0</v>
      </c>
      <c r="X135" s="48"/>
      <c r="Y135" s="48">
        <v>0</v>
      </c>
      <c r="Z135" s="48"/>
      <c r="AA135" s="48">
        <v>0</v>
      </c>
      <c r="AB135" s="48"/>
      <c r="AC135" s="48">
        <v>0</v>
      </c>
      <c r="AD135" s="48"/>
      <c r="AE135" s="48">
        <f t="shared" si="8"/>
        <v>18502</v>
      </c>
      <c r="AF135" s="48"/>
      <c r="AG135" s="59"/>
      <c r="AH135" s="59"/>
      <c r="AI135" s="59"/>
      <c r="AJ135" s="59"/>
      <c r="AK135" s="59"/>
      <c r="AL135" s="8">
        <f>+'Gen Rev'!AI135-'Gen Exp'!AE135+'Gen Exp'!AI135-AK135</f>
        <v>9982</v>
      </c>
      <c r="AM135" s="21" t="str">
        <f>'Gen Rev'!A135</f>
        <v>Clifton</v>
      </c>
      <c r="AN135" s="67" t="str">
        <f t="shared" si="5"/>
        <v>Clifton</v>
      </c>
      <c r="AO135" s="67" t="b">
        <f t="shared" si="6"/>
        <v>1</v>
      </c>
    </row>
    <row r="136" spans="1:41" s="67" customFormat="1" ht="12" customHeight="1" x14ac:dyDescent="0.2">
      <c r="A136" s="1"/>
      <c r="B136" s="1"/>
      <c r="C136" s="1"/>
      <c r="D136" s="1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59"/>
      <c r="AH136" s="59"/>
      <c r="AI136" s="59"/>
      <c r="AJ136" s="59"/>
      <c r="AK136" s="59"/>
      <c r="AL136" s="8"/>
      <c r="AM136" s="21"/>
    </row>
    <row r="137" spans="1:41" s="67" customFormat="1" ht="12" customHeight="1" x14ac:dyDescent="0.2">
      <c r="A137" s="1"/>
      <c r="B137" s="1"/>
      <c r="C137" s="1"/>
      <c r="D137" s="1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88" t="s">
        <v>733</v>
      </c>
      <c r="AF137" s="48"/>
      <c r="AG137" s="59"/>
      <c r="AH137" s="59"/>
      <c r="AI137" s="59"/>
      <c r="AJ137" s="59"/>
      <c r="AK137" s="59"/>
      <c r="AL137" s="8"/>
      <c r="AM137" s="21"/>
    </row>
    <row r="138" spans="1:41" s="67" customFormat="1" ht="12" customHeight="1" x14ac:dyDescent="0.2">
      <c r="A138" s="1"/>
      <c r="B138" s="1"/>
      <c r="C138" s="1"/>
      <c r="D138" s="1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59"/>
      <c r="AH138" s="59"/>
      <c r="AI138" s="59"/>
      <c r="AJ138" s="59"/>
      <c r="AK138" s="59"/>
      <c r="AL138" s="8"/>
      <c r="AM138" s="21"/>
    </row>
    <row r="139" spans="1:41" ht="12" customHeight="1" x14ac:dyDescent="0.2">
      <c r="A139" s="1" t="s">
        <v>280</v>
      </c>
      <c r="C139" s="1" t="s">
        <v>511</v>
      </c>
      <c r="E139" s="68">
        <v>82903.289999999994</v>
      </c>
      <c r="F139" s="48"/>
      <c r="G139" s="68">
        <v>10870</v>
      </c>
      <c r="H139" s="68"/>
      <c r="I139" s="68">
        <v>25320</v>
      </c>
      <c r="J139" s="68"/>
      <c r="K139" s="68">
        <v>23144.91</v>
      </c>
      <c r="L139" s="68"/>
      <c r="M139" s="68">
        <v>0</v>
      </c>
      <c r="N139" s="68"/>
      <c r="O139" s="68">
        <v>20151.02</v>
      </c>
      <c r="P139" s="68"/>
      <c r="Q139" s="68">
        <v>84707.73</v>
      </c>
      <c r="R139" s="68"/>
      <c r="S139" s="68">
        <v>0</v>
      </c>
      <c r="T139" s="68"/>
      <c r="U139" s="68">
        <v>0</v>
      </c>
      <c r="V139" s="68"/>
      <c r="W139" s="68">
        <v>0</v>
      </c>
      <c r="X139" s="68"/>
      <c r="Y139" s="68">
        <v>20800</v>
      </c>
      <c r="Z139" s="68"/>
      <c r="AA139" s="68">
        <v>0</v>
      </c>
      <c r="AB139" s="68"/>
      <c r="AC139" s="68">
        <v>0</v>
      </c>
      <c r="AD139" s="68"/>
      <c r="AE139" s="68">
        <f t="shared" si="8"/>
        <v>267896.94999999995</v>
      </c>
      <c r="AG139" s="55">
        <v>187127.33</v>
      </c>
      <c r="AI139" s="55">
        <v>66212.05</v>
      </c>
      <c r="AK139" s="55">
        <v>253339.38</v>
      </c>
      <c r="AL139" s="8">
        <f>+'Gen Rev'!AI136-'Gen Exp'!AE139+'Gen Exp'!AI139-AK139</f>
        <v>0</v>
      </c>
      <c r="AM139" s="21" t="str">
        <f>'Gen Rev'!A136</f>
        <v>Clinton</v>
      </c>
      <c r="AN139" s="67" t="str">
        <f t="shared" si="5"/>
        <v>Clinton</v>
      </c>
      <c r="AO139" s="67" t="b">
        <f t="shared" si="6"/>
        <v>1</v>
      </c>
    </row>
    <row r="140" spans="1:41" s="67" customFormat="1" ht="12" customHeight="1" x14ac:dyDescent="0.2">
      <c r="A140" s="1" t="s">
        <v>117</v>
      </c>
      <c r="B140" s="1"/>
      <c r="C140" s="1" t="s">
        <v>406</v>
      </c>
      <c r="D140" s="1"/>
      <c r="E140" s="48">
        <v>387247.64</v>
      </c>
      <c r="F140" s="48"/>
      <c r="G140" s="48">
        <v>0</v>
      </c>
      <c r="H140" s="48"/>
      <c r="I140" s="48">
        <v>9312.2099999999991</v>
      </c>
      <c r="J140" s="48"/>
      <c r="K140" s="48">
        <v>269.5</v>
      </c>
      <c r="L140" s="48"/>
      <c r="M140" s="48">
        <v>0</v>
      </c>
      <c r="N140" s="48"/>
      <c r="O140" s="48">
        <v>0</v>
      </c>
      <c r="P140" s="48"/>
      <c r="Q140" s="48">
        <v>131613.10999999999</v>
      </c>
      <c r="R140" s="48"/>
      <c r="S140" s="48">
        <v>0</v>
      </c>
      <c r="T140" s="48"/>
      <c r="U140" s="48">
        <v>0</v>
      </c>
      <c r="V140" s="48"/>
      <c r="W140" s="48">
        <v>0</v>
      </c>
      <c r="X140" s="48"/>
      <c r="Y140" s="48">
        <v>0</v>
      </c>
      <c r="Z140" s="48"/>
      <c r="AA140" s="48">
        <v>59000</v>
      </c>
      <c r="AB140" s="48"/>
      <c r="AC140" s="48">
        <v>0</v>
      </c>
      <c r="AD140" s="48"/>
      <c r="AE140" s="48">
        <f t="shared" si="8"/>
        <v>587442.46</v>
      </c>
      <c r="AF140" s="1"/>
      <c r="AG140" s="55">
        <v>35500.300000000003</v>
      </c>
      <c r="AH140" s="55"/>
      <c r="AI140" s="55">
        <v>23910.880000000001</v>
      </c>
      <c r="AJ140" s="55"/>
      <c r="AK140" s="55">
        <v>59411.18</v>
      </c>
      <c r="AL140" s="8">
        <f>+'Gen Rev'!AI137-'Gen Exp'!AE140+'Gen Exp'!AI140-AK140</f>
        <v>0</v>
      </c>
      <c r="AM140" s="21" t="str">
        <f>'Gen Rev'!A137</f>
        <v>Coal Grove</v>
      </c>
      <c r="AN140" s="67" t="str">
        <f t="shared" si="5"/>
        <v>Coal Grove</v>
      </c>
      <c r="AO140" s="67" t="b">
        <f t="shared" si="6"/>
        <v>1</v>
      </c>
    </row>
    <row r="141" spans="1:41" s="5" customFormat="1" ht="12" customHeight="1" x14ac:dyDescent="0.2">
      <c r="A141" s="1" t="s">
        <v>617</v>
      </c>
      <c r="B141" s="1"/>
      <c r="C141" s="1" t="s">
        <v>850</v>
      </c>
      <c r="D141" s="1"/>
      <c r="E141" s="48">
        <v>64079.53</v>
      </c>
      <c r="F141" s="48"/>
      <c r="G141" s="48">
        <v>0</v>
      </c>
      <c r="H141" s="48"/>
      <c r="I141" s="48">
        <v>0</v>
      </c>
      <c r="J141" s="48"/>
      <c r="K141" s="48">
        <v>0</v>
      </c>
      <c r="L141" s="48"/>
      <c r="M141" s="48">
        <v>0</v>
      </c>
      <c r="N141" s="48"/>
      <c r="O141" s="48">
        <v>0</v>
      </c>
      <c r="P141" s="48"/>
      <c r="Q141" s="48">
        <v>39827.660000000003</v>
      </c>
      <c r="R141" s="48"/>
      <c r="S141" s="48">
        <v>10050.65</v>
      </c>
      <c r="T141" s="48"/>
      <c r="U141" s="48">
        <v>0</v>
      </c>
      <c r="V141" s="48"/>
      <c r="W141" s="48">
        <v>0</v>
      </c>
      <c r="X141" s="48"/>
      <c r="Y141" s="48">
        <v>10000</v>
      </c>
      <c r="Z141" s="48"/>
      <c r="AA141" s="48">
        <v>0</v>
      </c>
      <c r="AB141" s="48"/>
      <c r="AC141" s="48">
        <v>0</v>
      </c>
      <c r="AD141" s="48"/>
      <c r="AE141" s="48">
        <f t="shared" si="8"/>
        <v>123957.84</v>
      </c>
      <c r="AF141" s="1"/>
      <c r="AG141" s="55">
        <v>-40121.94</v>
      </c>
      <c r="AH141" s="55"/>
      <c r="AI141" s="55">
        <v>105664.92</v>
      </c>
      <c r="AJ141" s="55"/>
      <c r="AK141" s="55">
        <v>65542.98</v>
      </c>
      <c r="AL141" s="8">
        <f>+'Gen Rev'!AI138-'Gen Exp'!AE141+'Gen Exp'!AI141-AK141</f>
        <v>0</v>
      </c>
      <c r="AM141" s="21" t="str">
        <f>'Gen Rev'!A138</f>
        <v>Coalton</v>
      </c>
      <c r="AN141" s="67" t="str">
        <f t="shared" si="5"/>
        <v>Coalton</v>
      </c>
      <c r="AO141" s="67" t="b">
        <f t="shared" si="6"/>
        <v>1</v>
      </c>
    </row>
    <row r="142" spans="1:41" s="67" customFormat="1" ht="12" customHeight="1" x14ac:dyDescent="0.2">
      <c r="A142" s="1" t="s">
        <v>767</v>
      </c>
      <c r="B142" s="1"/>
      <c r="C142" s="1" t="s">
        <v>433</v>
      </c>
      <c r="D142" s="7"/>
      <c r="E142" s="48">
        <v>877973</v>
      </c>
      <c r="F142" s="48"/>
      <c r="G142" s="48">
        <v>25224</v>
      </c>
      <c r="H142" s="48"/>
      <c r="I142" s="48">
        <v>0</v>
      </c>
      <c r="J142" s="48"/>
      <c r="K142" s="48">
        <v>15358</v>
      </c>
      <c r="L142" s="48"/>
      <c r="M142" s="48">
        <v>0</v>
      </c>
      <c r="N142" s="48"/>
      <c r="O142" s="48">
        <v>0</v>
      </c>
      <c r="P142" s="48"/>
      <c r="Q142" s="48">
        <v>711536</v>
      </c>
      <c r="R142" s="48"/>
      <c r="S142" s="48">
        <v>11885</v>
      </c>
      <c r="T142" s="48"/>
      <c r="U142" s="48">
        <v>0</v>
      </c>
      <c r="V142" s="48"/>
      <c r="W142" s="48">
        <v>0</v>
      </c>
      <c r="X142" s="48"/>
      <c r="Y142" s="48">
        <v>0</v>
      </c>
      <c r="Z142" s="48"/>
      <c r="AA142" s="48">
        <v>0</v>
      </c>
      <c r="AB142" s="48"/>
      <c r="AC142" s="48">
        <v>931043</v>
      </c>
      <c r="AD142" s="48"/>
      <c r="AE142" s="48">
        <f t="shared" si="8"/>
        <v>2573019</v>
      </c>
      <c r="AF142" s="48"/>
      <c r="AG142" s="59"/>
      <c r="AH142" s="59"/>
      <c r="AI142" s="59"/>
      <c r="AJ142" s="59"/>
      <c r="AK142" s="59"/>
      <c r="AL142" s="8">
        <f>+'Gen Rev'!AI139-'Gen Exp'!AE142+'Gen Exp'!AI142-AK142</f>
        <v>-140993</v>
      </c>
      <c r="AM142" s="21" t="str">
        <f>'Gen Rev'!A139</f>
        <v>Coldwater</v>
      </c>
      <c r="AN142" s="67" t="str">
        <f t="shared" si="5"/>
        <v>Coldwater</v>
      </c>
      <c r="AO142" s="67" t="b">
        <f t="shared" si="6"/>
        <v>1</v>
      </c>
    </row>
    <row r="143" spans="1:41" ht="12" customHeight="1" x14ac:dyDescent="0.2">
      <c r="A143" s="1" t="s">
        <v>184</v>
      </c>
      <c r="C143" s="1" t="s">
        <v>472</v>
      </c>
      <c r="E143" s="48">
        <v>17550</v>
      </c>
      <c r="F143" s="48"/>
      <c r="G143" s="48">
        <v>0</v>
      </c>
      <c r="H143" s="48"/>
      <c r="I143" s="48">
        <v>0</v>
      </c>
      <c r="J143" s="48"/>
      <c r="K143" s="48">
        <v>0</v>
      </c>
      <c r="L143" s="48"/>
      <c r="M143" s="48">
        <v>0</v>
      </c>
      <c r="N143" s="48"/>
      <c r="O143" s="48">
        <v>0</v>
      </c>
      <c r="P143" s="48"/>
      <c r="Q143" s="48">
        <v>33272.78</v>
      </c>
      <c r="R143" s="48"/>
      <c r="S143" s="48">
        <v>0</v>
      </c>
      <c r="T143" s="48"/>
      <c r="U143" s="48">
        <v>0</v>
      </c>
      <c r="V143" s="48"/>
      <c r="W143" s="48">
        <v>0</v>
      </c>
      <c r="X143" s="48"/>
      <c r="Y143" s="48">
        <v>0</v>
      </c>
      <c r="Z143" s="48"/>
      <c r="AA143" s="48">
        <v>0</v>
      </c>
      <c r="AB143" s="48"/>
      <c r="AC143" s="48">
        <v>749.49</v>
      </c>
      <c r="AD143" s="48"/>
      <c r="AE143" s="48">
        <f t="shared" si="8"/>
        <v>51572.27</v>
      </c>
      <c r="AG143" s="55">
        <v>13054.49</v>
      </c>
      <c r="AI143" s="55">
        <v>84178</v>
      </c>
      <c r="AK143" s="55">
        <v>97232.49</v>
      </c>
      <c r="AL143" s="8">
        <f>+'Gen Rev'!AI143-'Gen Exp'!AE143+'Gen Exp'!AI143-AK143</f>
        <v>0</v>
      </c>
      <c r="AM143" s="21" t="str">
        <f>'Gen Rev'!A143</f>
        <v>College Corner</v>
      </c>
      <c r="AN143" s="67" t="str">
        <f t="shared" si="5"/>
        <v>College Corner</v>
      </c>
      <c r="AO143" s="67" t="b">
        <f t="shared" si="6"/>
        <v>1</v>
      </c>
    </row>
    <row r="144" spans="1:41" ht="12" customHeight="1" x14ac:dyDescent="0.2">
      <c r="A144" s="1" t="s">
        <v>856</v>
      </c>
      <c r="C144" s="1" t="s">
        <v>467</v>
      </c>
      <c r="E144" s="48">
        <v>125800.76</v>
      </c>
      <c r="F144" s="48"/>
      <c r="G144" s="48">
        <v>6124.54</v>
      </c>
      <c r="H144" s="48"/>
      <c r="I144" s="48">
        <v>0</v>
      </c>
      <c r="J144" s="48"/>
      <c r="K144" s="48">
        <v>5417.4</v>
      </c>
      <c r="L144" s="48"/>
      <c r="M144" s="48">
        <v>1049.06</v>
      </c>
      <c r="N144" s="48"/>
      <c r="O144" s="48">
        <v>254743.44</v>
      </c>
      <c r="P144" s="48"/>
      <c r="Q144" s="48">
        <v>92666.37</v>
      </c>
      <c r="R144" s="48"/>
      <c r="S144" s="48">
        <v>0</v>
      </c>
      <c r="T144" s="48"/>
      <c r="U144" s="48">
        <v>0</v>
      </c>
      <c r="V144" s="48"/>
      <c r="W144" s="48">
        <v>0</v>
      </c>
      <c r="X144" s="48"/>
      <c r="Y144" s="48">
        <v>0</v>
      </c>
      <c r="Z144" s="48"/>
      <c r="AA144" s="48">
        <v>0</v>
      </c>
      <c r="AB144" s="48"/>
      <c r="AC144" s="48">
        <v>0</v>
      </c>
      <c r="AD144" s="48"/>
      <c r="AE144" s="48">
        <f t="shared" si="8"/>
        <v>485801.56999999995</v>
      </c>
      <c r="AG144" s="55">
        <v>44609.21</v>
      </c>
      <c r="AI144" s="55">
        <v>728026.06</v>
      </c>
      <c r="AK144" s="55">
        <v>772635.27</v>
      </c>
      <c r="AL144" s="8">
        <f>+'Gen Rev'!AI144-'Gen Exp'!AE144+'Gen Exp'!AI144-AK144</f>
        <v>0</v>
      </c>
      <c r="AM144" s="21" t="str">
        <f>'Gen Rev'!A144</f>
        <v>Commercial Point</v>
      </c>
      <c r="AN144" s="67" t="str">
        <f t="shared" ref="AN144:AN210" si="9">A144</f>
        <v>Commercial Point</v>
      </c>
      <c r="AO144" s="67" t="b">
        <f t="shared" ref="AO144:AO210" si="10">AM144=AN144</f>
        <v>1</v>
      </c>
    </row>
    <row r="145" spans="1:41" s="66" customFormat="1" ht="12" customHeight="1" x14ac:dyDescent="0.2">
      <c r="A145" s="1" t="s">
        <v>796</v>
      </c>
      <c r="B145" s="1"/>
      <c r="C145" s="1" t="s">
        <v>547</v>
      </c>
      <c r="D145" s="1"/>
      <c r="E145" s="48">
        <v>0</v>
      </c>
      <c r="F145" s="48"/>
      <c r="G145" s="48">
        <v>0</v>
      </c>
      <c r="H145" s="48"/>
      <c r="I145" s="48">
        <v>0</v>
      </c>
      <c r="J145" s="48"/>
      <c r="K145" s="48">
        <v>0</v>
      </c>
      <c r="L145" s="48"/>
      <c r="M145" s="48">
        <v>0</v>
      </c>
      <c r="N145" s="48"/>
      <c r="O145" s="48">
        <v>0</v>
      </c>
      <c r="P145" s="48"/>
      <c r="Q145" s="48">
        <v>20026.650000000001</v>
      </c>
      <c r="R145" s="48"/>
      <c r="S145" s="48">
        <v>0</v>
      </c>
      <c r="T145" s="48"/>
      <c r="U145" s="48">
        <v>0</v>
      </c>
      <c r="V145" s="48"/>
      <c r="W145" s="48">
        <v>0</v>
      </c>
      <c r="X145" s="48"/>
      <c r="Y145" s="48">
        <v>0</v>
      </c>
      <c r="Z145" s="48"/>
      <c r="AA145" s="48">
        <v>0</v>
      </c>
      <c r="AB145" s="48"/>
      <c r="AC145" s="48">
        <v>2002.96</v>
      </c>
      <c r="AD145" s="48"/>
      <c r="AE145" s="48">
        <f t="shared" si="8"/>
        <v>22029.61</v>
      </c>
      <c r="AF145" s="1"/>
      <c r="AG145" s="55">
        <v>9587.65</v>
      </c>
      <c r="AH145" s="55"/>
      <c r="AI145" s="55">
        <v>9903.43</v>
      </c>
      <c r="AJ145" s="55"/>
      <c r="AK145" s="55">
        <v>19491.080000000002</v>
      </c>
      <c r="AL145" s="8">
        <f>+'Gen Rev'!AI145-'Gen Exp'!AE145+'Gen Exp'!AI145-AK145</f>
        <v>0</v>
      </c>
      <c r="AM145" s="21" t="str">
        <f>'Gen Rev'!A145</f>
        <v>Congress</v>
      </c>
      <c r="AN145" s="67" t="str">
        <f t="shared" si="9"/>
        <v>Congress</v>
      </c>
      <c r="AO145" s="67" t="b">
        <f t="shared" si="10"/>
        <v>1</v>
      </c>
    </row>
    <row r="146" spans="1:41" ht="12" customHeight="1" x14ac:dyDescent="0.2">
      <c r="A146" s="1" t="s">
        <v>187</v>
      </c>
      <c r="C146" s="1" t="s">
        <v>476</v>
      </c>
      <c r="E146" s="48">
        <v>65222.1</v>
      </c>
      <c r="F146" s="48"/>
      <c r="G146" s="48">
        <v>0</v>
      </c>
      <c r="H146" s="48"/>
      <c r="I146" s="48">
        <v>0</v>
      </c>
      <c r="J146" s="48"/>
      <c r="K146" s="48">
        <v>0</v>
      </c>
      <c r="L146" s="48"/>
      <c r="M146" s="48">
        <v>7409.94</v>
      </c>
      <c r="N146" s="48"/>
      <c r="O146" s="48">
        <v>0</v>
      </c>
      <c r="P146" s="48"/>
      <c r="Q146" s="48">
        <v>89383.55</v>
      </c>
      <c r="R146" s="48"/>
      <c r="S146" s="48">
        <v>0</v>
      </c>
      <c r="T146" s="48"/>
      <c r="U146" s="48">
        <v>2893.78</v>
      </c>
      <c r="V146" s="48"/>
      <c r="W146" s="48">
        <v>384.32</v>
      </c>
      <c r="X146" s="48"/>
      <c r="Y146" s="48">
        <v>25000</v>
      </c>
      <c r="Z146" s="48"/>
      <c r="AA146" s="48">
        <v>79659</v>
      </c>
      <c r="AB146" s="48"/>
      <c r="AC146" s="48">
        <v>0</v>
      </c>
      <c r="AD146" s="48"/>
      <c r="AE146" s="48">
        <f t="shared" si="8"/>
        <v>269952.69</v>
      </c>
      <c r="AG146" s="55">
        <v>233157.59</v>
      </c>
      <c r="AI146" s="55">
        <v>163606.81</v>
      </c>
      <c r="AK146" s="55">
        <v>396764.4</v>
      </c>
      <c r="AL146" s="8">
        <f>+'Gen Rev'!AI146-'Gen Exp'!AE146+'Gen Exp'!AI146-AK146</f>
        <v>0</v>
      </c>
      <c r="AM146" s="21" t="str">
        <f>'Gen Rev'!A146</f>
        <v>Continental</v>
      </c>
      <c r="AN146" s="67" t="str">
        <f t="shared" si="9"/>
        <v>Continental</v>
      </c>
      <c r="AO146" s="67" t="b">
        <f t="shared" si="10"/>
        <v>1</v>
      </c>
    </row>
    <row r="147" spans="1:41" ht="12" customHeight="1" x14ac:dyDescent="0.2">
      <c r="A147" s="1" t="s">
        <v>223</v>
      </c>
      <c r="C147" s="1" t="s">
        <v>532</v>
      </c>
      <c r="E147" s="48">
        <v>125368.76</v>
      </c>
      <c r="F147" s="48"/>
      <c r="G147" s="48">
        <v>6371.18</v>
      </c>
      <c r="H147" s="48"/>
      <c r="I147" s="48">
        <v>0</v>
      </c>
      <c r="J147" s="48"/>
      <c r="K147" s="48">
        <v>2977.38</v>
      </c>
      <c r="L147" s="48"/>
      <c r="M147" s="48">
        <v>5840</v>
      </c>
      <c r="N147" s="48"/>
      <c r="O147" s="48">
        <v>86031.98</v>
      </c>
      <c r="P147" s="48"/>
      <c r="Q147" s="48">
        <v>115045.28</v>
      </c>
      <c r="R147" s="48"/>
      <c r="S147" s="48">
        <v>34759.089999999997</v>
      </c>
      <c r="T147" s="48"/>
      <c r="U147" s="48">
        <v>15000</v>
      </c>
      <c r="V147" s="48"/>
      <c r="W147" s="48">
        <v>0</v>
      </c>
      <c r="X147" s="48"/>
      <c r="Y147" s="48">
        <v>0</v>
      </c>
      <c r="Z147" s="48"/>
      <c r="AA147" s="48">
        <v>0</v>
      </c>
      <c r="AB147" s="48"/>
      <c r="AC147" s="48">
        <v>0</v>
      </c>
      <c r="AD147" s="48"/>
      <c r="AE147" s="48">
        <f t="shared" si="8"/>
        <v>391393.66999999993</v>
      </c>
      <c r="AG147" s="55">
        <v>-58615.02</v>
      </c>
      <c r="AI147" s="55">
        <v>474599.76</v>
      </c>
      <c r="AK147" s="55">
        <v>415984.74</v>
      </c>
      <c r="AL147" s="8">
        <f>+'Gen Rev'!AI147-'Gen Exp'!AE147+'Gen Exp'!AI147-AK147</f>
        <v>0</v>
      </c>
      <c r="AM147" s="21" t="str">
        <f>'Gen Rev'!A147</f>
        <v>Convoy</v>
      </c>
      <c r="AN147" s="67" t="str">
        <f t="shared" si="9"/>
        <v>Convoy</v>
      </c>
      <c r="AO147" s="67" t="b">
        <f t="shared" si="10"/>
        <v>1</v>
      </c>
    </row>
    <row r="148" spans="1:41" s="67" customFormat="1" ht="12" customHeight="1" x14ac:dyDescent="0.2">
      <c r="A148" s="1" t="s">
        <v>797</v>
      </c>
      <c r="B148" s="1"/>
      <c r="C148" s="1" t="s">
        <v>253</v>
      </c>
      <c r="D148" s="1"/>
      <c r="E148" s="48">
        <v>16499.71</v>
      </c>
      <c r="F148" s="48"/>
      <c r="G148" s="48">
        <v>0</v>
      </c>
      <c r="H148" s="48"/>
      <c r="I148" s="48">
        <v>0</v>
      </c>
      <c r="J148" s="48"/>
      <c r="K148" s="48">
        <v>0</v>
      </c>
      <c r="L148" s="48"/>
      <c r="M148" s="48">
        <v>0</v>
      </c>
      <c r="N148" s="48"/>
      <c r="O148" s="48">
        <v>0</v>
      </c>
      <c r="P148" s="48"/>
      <c r="Q148" s="48">
        <v>20360.939999999999</v>
      </c>
      <c r="R148" s="48"/>
      <c r="S148" s="48">
        <v>0</v>
      </c>
      <c r="T148" s="48"/>
      <c r="U148" s="48">
        <v>0</v>
      </c>
      <c r="V148" s="48"/>
      <c r="W148" s="48">
        <v>0</v>
      </c>
      <c r="X148" s="48"/>
      <c r="Y148" s="48">
        <v>0</v>
      </c>
      <c r="Z148" s="48"/>
      <c r="AA148" s="48">
        <v>0</v>
      </c>
      <c r="AB148" s="48"/>
      <c r="AC148" s="48">
        <v>0</v>
      </c>
      <c r="AD148" s="48"/>
      <c r="AE148" s="48">
        <f t="shared" si="8"/>
        <v>36860.649999999994</v>
      </c>
      <c r="AF148" s="1"/>
      <c r="AG148" s="55">
        <v>20298.97</v>
      </c>
      <c r="AH148" s="55"/>
      <c r="AI148" s="55">
        <v>4774.54</v>
      </c>
      <c r="AJ148" s="55"/>
      <c r="AK148" s="55">
        <v>25073.51</v>
      </c>
      <c r="AL148" s="8">
        <f>+'Gen Rev'!AI148-'Gen Exp'!AE148+'Gen Exp'!AI148-AK148</f>
        <v>0</v>
      </c>
      <c r="AM148" s="21" t="str">
        <f>'Gen Rev'!A148</f>
        <v>Coolville</v>
      </c>
      <c r="AN148" s="67" t="str">
        <f t="shared" si="9"/>
        <v>Coolville</v>
      </c>
      <c r="AO148" s="67" t="b">
        <f t="shared" si="10"/>
        <v>1</v>
      </c>
    </row>
    <row r="149" spans="1:41" ht="12" customHeight="1" x14ac:dyDescent="0.2">
      <c r="A149" s="1" t="s">
        <v>172</v>
      </c>
      <c r="C149" s="1" t="s">
        <v>464</v>
      </c>
      <c r="E149" s="48">
        <v>17042.82</v>
      </c>
      <c r="F149" s="48"/>
      <c r="G149" s="48">
        <v>0</v>
      </c>
      <c r="H149" s="48"/>
      <c r="I149" s="48">
        <v>759.63</v>
      </c>
      <c r="J149" s="48"/>
      <c r="K149" s="48">
        <v>0</v>
      </c>
      <c r="L149" s="48"/>
      <c r="M149" s="48">
        <v>0</v>
      </c>
      <c r="N149" s="48"/>
      <c r="O149" s="48">
        <v>0</v>
      </c>
      <c r="P149" s="48"/>
      <c r="Q149" s="48">
        <v>30922.15</v>
      </c>
      <c r="R149" s="48"/>
      <c r="S149" s="48">
        <v>0</v>
      </c>
      <c r="T149" s="48"/>
      <c r="U149" s="48">
        <v>0</v>
      </c>
      <c r="V149" s="48"/>
      <c r="W149" s="48">
        <v>0</v>
      </c>
      <c r="X149" s="48"/>
      <c r="Y149" s="48">
        <v>0</v>
      </c>
      <c r="Z149" s="48"/>
      <c r="AA149" s="48">
        <v>0</v>
      </c>
      <c r="AB149" s="48"/>
      <c r="AC149" s="48">
        <v>0</v>
      </c>
      <c r="AD149" s="48"/>
      <c r="AE149" s="48">
        <f t="shared" si="8"/>
        <v>48724.600000000006</v>
      </c>
      <c r="AG149" s="55">
        <v>11079.9</v>
      </c>
      <c r="AI149" s="55">
        <v>80760.05</v>
      </c>
      <c r="AK149" s="55">
        <v>91839.95</v>
      </c>
      <c r="AL149" s="8">
        <f>+'Gen Rev'!AI149-'Gen Exp'!AE149+'Gen Exp'!AI149-AK149</f>
        <v>0</v>
      </c>
      <c r="AM149" s="21" t="str">
        <f>'Gen Rev'!A149</f>
        <v>Corning</v>
      </c>
      <c r="AN149" s="67" t="str">
        <f t="shared" si="9"/>
        <v>Corning</v>
      </c>
      <c r="AO149" s="67" t="b">
        <f t="shared" si="10"/>
        <v>1</v>
      </c>
    </row>
    <row r="150" spans="1:41" s="67" customFormat="1" ht="12" customHeight="1" x14ac:dyDescent="0.2">
      <c r="A150" s="1" t="s">
        <v>539</v>
      </c>
      <c r="B150" s="1"/>
      <c r="C150" s="1" t="s">
        <v>541</v>
      </c>
      <c r="D150" s="1"/>
      <c r="E150" s="48">
        <v>4228</v>
      </c>
      <c r="F150" s="48"/>
      <c r="G150" s="48">
        <v>0</v>
      </c>
      <c r="H150" s="48"/>
      <c r="I150" s="48">
        <v>0</v>
      </c>
      <c r="J150" s="48"/>
      <c r="K150" s="48">
        <v>1905</v>
      </c>
      <c r="L150" s="48"/>
      <c r="M150" s="48">
        <v>0</v>
      </c>
      <c r="N150" s="48"/>
      <c r="O150" s="48">
        <v>0</v>
      </c>
      <c r="P150" s="48"/>
      <c r="Q150" s="48">
        <v>30503</v>
      </c>
      <c r="R150" s="48"/>
      <c r="S150" s="48">
        <v>0</v>
      </c>
      <c r="T150" s="48"/>
      <c r="U150" s="48">
        <v>0</v>
      </c>
      <c r="V150" s="48"/>
      <c r="W150" s="48">
        <v>0</v>
      </c>
      <c r="X150" s="48"/>
      <c r="Y150" s="48">
        <v>0</v>
      </c>
      <c r="Z150" s="48"/>
      <c r="AA150" s="48">
        <v>0</v>
      </c>
      <c r="AB150" s="48"/>
      <c r="AC150" s="48">
        <v>0</v>
      </c>
      <c r="AD150" s="48"/>
      <c r="AE150" s="48">
        <f t="shared" si="8"/>
        <v>36636</v>
      </c>
      <c r="AF150" s="48"/>
      <c r="AG150" s="59"/>
      <c r="AH150" s="59"/>
      <c r="AI150" s="59"/>
      <c r="AJ150" s="59"/>
      <c r="AK150" s="59"/>
      <c r="AL150" s="8">
        <f>+'Gen Rev'!AI150-'Gen Exp'!AE150+'Gen Exp'!AI150-AK150</f>
        <v>82960</v>
      </c>
      <c r="AM150" s="21" t="str">
        <f>'Gen Rev'!A150</f>
        <v>Corwin</v>
      </c>
      <c r="AN150" s="67" t="str">
        <f t="shared" si="9"/>
        <v>Corwin</v>
      </c>
      <c r="AO150" s="67" t="b">
        <f t="shared" si="10"/>
        <v>1</v>
      </c>
    </row>
    <row r="151" spans="1:41" s="67" customFormat="1" ht="12" customHeight="1" x14ac:dyDescent="0.2">
      <c r="A151" s="1" t="s">
        <v>768</v>
      </c>
      <c r="B151" s="1"/>
      <c r="C151" s="1" t="s">
        <v>437</v>
      </c>
      <c r="D151" s="7"/>
      <c r="E151" s="48">
        <v>532994</v>
      </c>
      <c r="F151" s="48"/>
      <c r="G151" s="48">
        <v>91801</v>
      </c>
      <c r="H151" s="48"/>
      <c r="I151" s="48">
        <v>10143</v>
      </c>
      <c r="J151" s="48"/>
      <c r="K151" s="48">
        <v>0</v>
      </c>
      <c r="L151" s="48"/>
      <c r="M151" s="48">
        <v>0</v>
      </c>
      <c r="N151" s="48"/>
      <c r="O151" s="48">
        <v>0</v>
      </c>
      <c r="P151" s="48"/>
      <c r="Q151" s="48">
        <v>234344</v>
      </c>
      <c r="R151" s="48"/>
      <c r="S151" s="48">
        <v>2532</v>
      </c>
      <c r="T151" s="48"/>
      <c r="U151" s="48">
        <v>90000</v>
      </c>
      <c r="V151" s="48"/>
      <c r="W151" s="48">
        <v>11475</v>
      </c>
      <c r="X151" s="48"/>
      <c r="Y151" s="48">
        <v>6000</v>
      </c>
      <c r="Z151" s="48"/>
      <c r="AA151" s="48">
        <v>0</v>
      </c>
      <c r="AB151" s="48"/>
      <c r="AC151" s="48">
        <v>0</v>
      </c>
      <c r="AD151" s="48"/>
      <c r="AE151" s="48">
        <f t="shared" si="8"/>
        <v>979289</v>
      </c>
      <c r="AF151" s="48"/>
      <c r="AG151" s="59"/>
      <c r="AH151" s="59"/>
      <c r="AI151" s="59"/>
      <c r="AJ151" s="59"/>
      <c r="AK151" s="59"/>
      <c r="AL151" s="8">
        <f>+'Gen Rev'!AI151-'Gen Exp'!AE151+'Gen Exp'!AI151-AK151</f>
        <v>13149</v>
      </c>
      <c r="AM151" s="21" t="str">
        <f>'Gen Rev'!A151</f>
        <v>Covington</v>
      </c>
      <c r="AN151" s="67" t="str">
        <f t="shared" si="9"/>
        <v>Covington</v>
      </c>
      <c r="AO151" s="67" t="b">
        <f t="shared" si="10"/>
        <v>1</v>
      </c>
    </row>
    <row r="152" spans="1:41" s="67" customFormat="1" ht="12" customHeight="1" x14ac:dyDescent="0.2">
      <c r="A152" s="1" t="s">
        <v>135</v>
      </c>
      <c r="B152" s="1"/>
      <c r="C152" s="1" t="s">
        <v>429</v>
      </c>
      <c r="D152" s="1"/>
      <c r="E152" s="48">
        <v>46296.1</v>
      </c>
      <c r="F152" s="48"/>
      <c r="G152" s="48">
        <v>5457.03</v>
      </c>
      <c r="H152" s="48"/>
      <c r="I152" s="48">
        <v>0</v>
      </c>
      <c r="J152" s="48"/>
      <c r="K152" s="48">
        <v>3069.95</v>
      </c>
      <c r="L152" s="48"/>
      <c r="M152" s="48">
        <v>7621.46</v>
      </c>
      <c r="N152" s="48"/>
      <c r="O152" s="48">
        <v>0</v>
      </c>
      <c r="P152" s="48"/>
      <c r="Q152" s="48">
        <v>58190.55</v>
      </c>
      <c r="R152" s="48"/>
      <c r="S152" s="48">
        <v>0</v>
      </c>
      <c r="T152" s="48"/>
      <c r="U152" s="48">
        <v>0</v>
      </c>
      <c r="V152" s="48"/>
      <c r="W152" s="48">
        <v>0</v>
      </c>
      <c r="X152" s="48"/>
      <c r="Y152" s="48">
        <v>0</v>
      </c>
      <c r="Z152" s="48"/>
      <c r="AA152" s="48">
        <v>0</v>
      </c>
      <c r="AB152" s="48"/>
      <c r="AC152" s="48">
        <v>0</v>
      </c>
      <c r="AD152" s="48"/>
      <c r="AE152" s="48">
        <f t="shared" si="8"/>
        <v>120635.09</v>
      </c>
      <c r="AF152" s="1"/>
      <c r="AG152" s="55">
        <v>-28937.39</v>
      </c>
      <c r="AH152" s="55"/>
      <c r="AI152" s="55">
        <v>56284.66</v>
      </c>
      <c r="AJ152" s="55"/>
      <c r="AK152" s="55">
        <v>27347.27</v>
      </c>
      <c r="AL152" s="8">
        <f>+'Gen Rev'!AI152-'Gen Exp'!AE152+'Gen Exp'!AI152-AK152</f>
        <v>0</v>
      </c>
      <c r="AM152" s="21" t="str">
        <f>'Gen Rev'!A152</f>
        <v>Craig Beach</v>
      </c>
      <c r="AN152" s="67" t="str">
        <f t="shared" si="9"/>
        <v>Craig Beach</v>
      </c>
      <c r="AO152" s="67" t="b">
        <f t="shared" si="10"/>
        <v>1</v>
      </c>
    </row>
    <row r="153" spans="1:41" ht="12" customHeight="1" x14ac:dyDescent="0.2">
      <c r="A153" s="1" t="s">
        <v>826</v>
      </c>
      <c r="C153" s="1" t="s">
        <v>289</v>
      </c>
      <c r="D153" s="7"/>
      <c r="E153" s="48">
        <v>1165580</v>
      </c>
      <c r="F153" s="48"/>
      <c r="G153" s="48">
        <v>0</v>
      </c>
      <c r="H153" s="48"/>
      <c r="I153" s="48">
        <v>44405</v>
      </c>
      <c r="J153" s="48"/>
      <c r="K153" s="48">
        <v>26587</v>
      </c>
      <c r="L153" s="48"/>
      <c r="M153" s="48">
        <v>0</v>
      </c>
      <c r="N153" s="48"/>
      <c r="O153" s="48">
        <v>0</v>
      </c>
      <c r="P153" s="48"/>
      <c r="Q153" s="48">
        <v>293136</v>
      </c>
      <c r="R153" s="48"/>
      <c r="S153" s="48">
        <v>0</v>
      </c>
      <c r="T153" s="48"/>
      <c r="U153" s="48">
        <v>1333</v>
      </c>
      <c r="V153" s="48"/>
      <c r="W153" s="48">
        <v>2022</v>
      </c>
      <c r="X153" s="48"/>
      <c r="Y153" s="48">
        <v>7327</v>
      </c>
      <c r="Z153" s="48"/>
      <c r="AA153" s="48">
        <v>0</v>
      </c>
      <c r="AB153" s="48"/>
      <c r="AC153" s="48">
        <v>0</v>
      </c>
      <c r="AD153" s="48"/>
      <c r="AE153" s="48">
        <f t="shared" si="8"/>
        <v>1540390</v>
      </c>
      <c r="AF153" s="48"/>
      <c r="AG153" s="59"/>
      <c r="AH153" s="59"/>
      <c r="AI153" s="59"/>
      <c r="AJ153" s="59"/>
      <c r="AK153" s="59"/>
      <c r="AL153" s="8">
        <f>+'Gen Rev'!AI153-'Gen Exp'!AE153+'Gen Exp'!AI153-AK153</f>
        <v>-38083</v>
      </c>
      <c r="AM153" s="21" t="str">
        <f>'Gen Rev'!A153</f>
        <v>Crestline</v>
      </c>
      <c r="AN153" s="67" t="str">
        <f t="shared" si="9"/>
        <v>Crestline</v>
      </c>
      <c r="AO153" s="67" t="b">
        <f t="shared" si="10"/>
        <v>1</v>
      </c>
    </row>
    <row r="154" spans="1:41" ht="12" customHeight="1" x14ac:dyDescent="0.2">
      <c r="A154" s="1" t="s">
        <v>548</v>
      </c>
      <c r="C154" s="1" t="s">
        <v>547</v>
      </c>
      <c r="E154" s="48">
        <v>15659.4</v>
      </c>
      <c r="F154" s="48"/>
      <c r="G154" s="48">
        <v>15754.12</v>
      </c>
      <c r="H154" s="48"/>
      <c r="I154" s="48">
        <v>0</v>
      </c>
      <c r="J154" s="48"/>
      <c r="K154" s="48">
        <v>0</v>
      </c>
      <c r="L154" s="48"/>
      <c r="M154" s="48">
        <v>0</v>
      </c>
      <c r="N154" s="48"/>
      <c r="O154" s="48">
        <v>0</v>
      </c>
      <c r="P154" s="48"/>
      <c r="Q154" s="48">
        <v>199885.3</v>
      </c>
      <c r="R154" s="48"/>
      <c r="S154" s="48">
        <v>31106.54</v>
      </c>
      <c r="T154" s="48"/>
      <c r="U154" s="48">
        <v>3269.56</v>
      </c>
      <c r="V154" s="48"/>
      <c r="W154" s="48">
        <v>755.22</v>
      </c>
      <c r="X154" s="48"/>
      <c r="Y154" s="48">
        <v>163500</v>
      </c>
      <c r="Z154" s="48"/>
      <c r="AA154" s="48">
        <v>0</v>
      </c>
      <c r="AB154" s="48"/>
      <c r="AC154" s="48">
        <v>13680.46</v>
      </c>
      <c r="AD154" s="48"/>
      <c r="AE154" s="48">
        <f t="shared" si="8"/>
        <v>443610.6</v>
      </c>
      <c r="AG154" s="55">
        <v>-23160.62</v>
      </c>
      <c r="AI154" s="55">
        <v>562141.96</v>
      </c>
      <c r="AK154" s="55">
        <v>538981.34</v>
      </c>
      <c r="AL154" s="8">
        <f>+'Gen Rev'!AI154-'Gen Exp'!AE154+'Gen Exp'!AI154-AK154</f>
        <v>0</v>
      </c>
      <c r="AM154" s="21" t="str">
        <f>'Gen Rev'!A154</f>
        <v>Creston</v>
      </c>
      <c r="AN154" s="67" t="str">
        <f t="shared" si="9"/>
        <v>Creston</v>
      </c>
      <c r="AO154" s="67" t="b">
        <f t="shared" si="10"/>
        <v>1</v>
      </c>
    </row>
    <row r="155" spans="1:41" s="67" customFormat="1" ht="12" customHeight="1" x14ac:dyDescent="0.2">
      <c r="A155" s="1" t="s">
        <v>256</v>
      </c>
      <c r="B155" s="1"/>
      <c r="C155" s="1" t="s">
        <v>257</v>
      </c>
      <c r="D155" s="1"/>
      <c r="E155" s="48">
        <v>363338</v>
      </c>
      <c r="F155" s="48"/>
      <c r="G155" s="48">
        <v>0</v>
      </c>
      <c r="H155" s="48"/>
      <c r="I155" s="48">
        <v>15023</v>
      </c>
      <c r="J155" s="48"/>
      <c r="K155" s="48">
        <v>9500</v>
      </c>
      <c r="L155" s="48"/>
      <c r="M155" s="48">
        <v>1739</v>
      </c>
      <c r="N155" s="48"/>
      <c r="O155" s="48">
        <v>0</v>
      </c>
      <c r="P155" s="48"/>
      <c r="Q155" s="48">
        <v>180053</v>
      </c>
      <c r="R155" s="48"/>
      <c r="S155" s="48">
        <v>0</v>
      </c>
      <c r="T155" s="48"/>
      <c r="U155" s="48">
        <v>8969</v>
      </c>
      <c r="V155" s="48"/>
      <c r="W155" s="48">
        <v>0</v>
      </c>
      <c r="X155" s="48"/>
      <c r="Y155" s="48">
        <v>131619</v>
      </c>
      <c r="Z155" s="48"/>
      <c r="AA155" s="48">
        <v>0</v>
      </c>
      <c r="AB155" s="48"/>
      <c r="AC155" s="48">
        <v>0</v>
      </c>
      <c r="AD155" s="48"/>
      <c r="AE155" s="48">
        <f t="shared" si="8"/>
        <v>710241</v>
      </c>
      <c r="AF155" s="48"/>
      <c r="AG155" s="59"/>
      <c r="AH155" s="59"/>
      <c r="AI155" s="59"/>
      <c r="AJ155" s="59"/>
      <c r="AK155" s="59"/>
      <c r="AL155" s="8">
        <f>+'Gen Rev'!AI155-'Gen Exp'!AE155+'Gen Exp'!AI155-AK155</f>
        <v>251516</v>
      </c>
      <c r="AM155" s="21" t="str">
        <f>'Gen Rev'!A155</f>
        <v>Cridersville</v>
      </c>
      <c r="AN155" s="67" t="str">
        <f t="shared" si="9"/>
        <v>Cridersville</v>
      </c>
      <c r="AO155" s="67" t="b">
        <f t="shared" si="10"/>
        <v>1</v>
      </c>
    </row>
    <row r="156" spans="1:41" s="67" customFormat="1" ht="12" customHeight="1" x14ac:dyDescent="0.2">
      <c r="A156" s="1" t="s">
        <v>463</v>
      </c>
      <c r="B156" s="1"/>
      <c r="C156" s="1" t="s">
        <v>464</v>
      </c>
      <c r="D156" s="1"/>
      <c r="E156" s="48">
        <v>229582</v>
      </c>
      <c r="F156" s="48"/>
      <c r="G156" s="48">
        <v>0</v>
      </c>
      <c r="H156" s="48"/>
      <c r="I156" s="48">
        <v>0</v>
      </c>
      <c r="J156" s="48"/>
      <c r="K156" s="48">
        <v>0</v>
      </c>
      <c r="L156" s="48"/>
      <c r="M156" s="48">
        <v>0</v>
      </c>
      <c r="N156" s="48"/>
      <c r="O156" s="48">
        <v>0</v>
      </c>
      <c r="P156" s="48"/>
      <c r="Q156" s="48">
        <v>216033</v>
      </c>
      <c r="R156" s="48"/>
      <c r="S156" s="48">
        <v>0</v>
      </c>
      <c r="T156" s="48"/>
      <c r="U156" s="48">
        <v>0</v>
      </c>
      <c r="V156" s="48"/>
      <c r="W156" s="48">
        <v>0</v>
      </c>
      <c r="X156" s="48"/>
      <c r="Y156" s="48">
        <v>0</v>
      </c>
      <c r="Z156" s="48"/>
      <c r="AA156" s="48">
        <v>0</v>
      </c>
      <c r="AB156" s="48"/>
      <c r="AC156" s="48">
        <v>14888</v>
      </c>
      <c r="AD156" s="48"/>
      <c r="AE156" s="48">
        <f t="shared" si="8"/>
        <v>460503</v>
      </c>
      <c r="AF156" s="48"/>
      <c r="AG156" s="59"/>
      <c r="AH156" s="59"/>
      <c r="AI156" s="59"/>
      <c r="AJ156" s="59"/>
      <c r="AK156" s="59"/>
      <c r="AL156" s="8">
        <f>+'Gen Rev'!AI156-'Gen Exp'!AE156+'Gen Exp'!AI156-AK156</f>
        <v>-28167</v>
      </c>
      <c r="AM156" s="21" t="str">
        <f>'Gen Rev'!A156</f>
        <v>Crooksville</v>
      </c>
      <c r="AN156" s="67" t="str">
        <f t="shared" si="9"/>
        <v>Crooksville</v>
      </c>
      <c r="AO156" s="67" t="b">
        <f t="shared" si="10"/>
        <v>1</v>
      </c>
    </row>
    <row r="157" spans="1:41" ht="12" customHeight="1" x14ac:dyDescent="0.2">
      <c r="A157" s="1" t="s">
        <v>75</v>
      </c>
      <c r="C157" s="1" t="s">
        <v>338</v>
      </c>
      <c r="E157" s="48">
        <v>15743.41</v>
      </c>
      <c r="F157" s="48"/>
      <c r="G157" s="48">
        <v>870</v>
      </c>
      <c r="H157" s="48"/>
      <c r="I157" s="48">
        <v>0</v>
      </c>
      <c r="J157" s="48"/>
      <c r="K157" s="48">
        <v>0</v>
      </c>
      <c r="L157" s="48"/>
      <c r="M157" s="48">
        <v>0</v>
      </c>
      <c r="N157" s="48"/>
      <c r="O157" s="48">
        <v>0</v>
      </c>
      <c r="P157" s="48"/>
      <c r="Q157" s="48">
        <v>30436.79</v>
      </c>
      <c r="R157" s="48"/>
      <c r="S157" s="48">
        <v>0</v>
      </c>
      <c r="T157" s="48"/>
      <c r="U157" s="48">
        <v>0</v>
      </c>
      <c r="V157" s="48"/>
      <c r="W157" s="48">
        <v>3254.39</v>
      </c>
      <c r="X157" s="48"/>
      <c r="Y157" s="48">
        <v>0</v>
      </c>
      <c r="Z157" s="48"/>
      <c r="AA157" s="48">
        <v>0</v>
      </c>
      <c r="AB157" s="48"/>
      <c r="AC157" s="48">
        <v>0</v>
      </c>
      <c r="AD157" s="48"/>
      <c r="AE157" s="48">
        <f t="shared" si="8"/>
        <v>50304.59</v>
      </c>
      <c r="AG157" s="55">
        <v>3906.69</v>
      </c>
      <c r="AI157" s="55">
        <v>15483.29</v>
      </c>
      <c r="AK157" s="55">
        <v>19389.98</v>
      </c>
      <c r="AL157" s="8">
        <f>+'Gen Rev'!AI157-'Gen Exp'!AE157+'Gen Exp'!AI157-AK157</f>
        <v>0</v>
      </c>
      <c r="AM157" s="21" t="str">
        <f>'Gen Rev'!A157</f>
        <v>Crown City</v>
      </c>
      <c r="AN157" s="67" t="str">
        <f t="shared" si="9"/>
        <v>Crown City</v>
      </c>
      <c r="AO157" s="67" t="b">
        <f t="shared" si="10"/>
        <v>1</v>
      </c>
    </row>
    <row r="158" spans="1:41" ht="12" customHeight="1" x14ac:dyDescent="0.2">
      <c r="A158" s="1" t="s">
        <v>82</v>
      </c>
      <c r="C158" s="1" t="s">
        <v>349</v>
      </c>
      <c r="E158" s="48">
        <v>0</v>
      </c>
      <c r="F158" s="48"/>
      <c r="G158" s="48">
        <v>0</v>
      </c>
      <c r="H158" s="48"/>
      <c r="I158" s="48">
        <v>0</v>
      </c>
      <c r="J158" s="48"/>
      <c r="K158" s="48">
        <v>0</v>
      </c>
      <c r="L158" s="48"/>
      <c r="M158" s="48">
        <v>0</v>
      </c>
      <c r="N158" s="48"/>
      <c r="O158" s="48">
        <v>0</v>
      </c>
      <c r="P158" s="48"/>
      <c r="Q158" s="48">
        <v>20240.599999999999</v>
      </c>
      <c r="R158" s="48"/>
      <c r="S158" s="48">
        <v>0</v>
      </c>
      <c r="T158" s="48"/>
      <c r="U158" s="48">
        <v>0</v>
      </c>
      <c r="V158" s="48"/>
      <c r="W158" s="48">
        <v>0</v>
      </c>
      <c r="X158" s="48"/>
      <c r="Y158" s="48">
        <v>5000</v>
      </c>
      <c r="Z158" s="48"/>
      <c r="AA158" s="48">
        <v>0</v>
      </c>
      <c r="AB158" s="48"/>
      <c r="AC158" s="48">
        <v>0</v>
      </c>
      <c r="AD158" s="48"/>
      <c r="AE158" s="48">
        <f t="shared" si="8"/>
        <v>25240.6</v>
      </c>
      <c r="AG158" s="55">
        <v>10355.59</v>
      </c>
      <c r="AI158" s="55">
        <v>591.6</v>
      </c>
      <c r="AK158" s="55">
        <v>10947.19</v>
      </c>
      <c r="AL158" s="8">
        <f>+'Gen Rev'!AI158-'Gen Exp'!AE158+'Gen Exp'!AI158-AK158</f>
        <v>0</v>
      </c>
      <c r="AM158" s="21" t="str">
        <f>'Gen Rev'!A158</f>
        <v>Cumberland</v>
      </c>
      <c r="AN158" s="67" t="str">
        <f t="shared" si="9"/>
        <v>Cumberland</v>
      </c>
      <c r="AO158" s="67" t="b">
        <f t="shared" si="10"/>
        <v>1</v>
      </c>
    </row>
    <row r="159" spans="1:41" s="5" customFormat="1" ht="12" customHeight="1" x14ac:dyDescent="0.2">
      <c r="A159" s="1" t="s">
        <v>236</v>
      </c>
      <c r="B159" s="1"/>
      <c r="C159" s="1" t="s">
        <v>558</v>
      </c>
      <c r="D159" s="1"/>
      <c r="E159" s="48">
        <v>1396.88</v>
      </c>
      <c r="F159" s="48"/>
      <c r="G159" s="48">
        <v>0</v>
      </c>
      <c r="H159" s="48"/>
      <c r="I159" s="48">
        <v>1887.79</v>
      </c>
      <c r="J159" s="48"/>
      <c r="K159" s="48">
        <v>1082.18</v>
      </c>
      <c r="L159" s="48"/>
      <c r="M159" s="48">
        <v>0</v>
      </c>
      <c r="N159" s="48"/>
      <c r="O159" s="48">
        <v>0</v>
      </c>
      <c r="P159" s="48"/>
      <c r="Q159" s="48">
        <v>21210.19</v>
      </c>
      <c r="R159" s="48"/>
      <c r="S159" s="48">
        <v>0</v>
      </c>
      <c r="T159" s="48"/>
      <c r="U159" s="48">
        <v>0</v>
      </c>
      <c r="V159" s="48"/>
      <c r="W159" s="48">
        <v>0</v>
      </c>
      <c r="X159" s="48"/>
      <c r="Y159" s="48">
        <v>0</v>
      </c>
      <c r="Z159" s="48"/>
      <c r="AA159" s="48">
        <v>0</v>
      </c>
      <c r="AB159" s="48"/>
      <c r="AC159" s="48">
        <v>1437.58</v>
      </c>
      <c r="AD159" s="48"/>
      <c r="AE159" s="48">
        <f t="shared" si="8"/>
        <v>27014.620000000003</v>
      </c>
      <c r="AF159" s="1"/>
      <c r="AG159" s="55">
        <v>2063.4</v>
      </c>
      <c r="AH159" s="55"/>
      <c r="AI159" s="55">
        <v>62803.34</v>
      </c>
      <c r="AJ159" s="55"/>
      <c r="AK159" s="55">
        <v>64866.74</v>
      </c>
      <c r="AL159" s="8">
        <f>+'Gen Rev'!AI159-'Gen Exp'!AE159+'Gen Exp'!AI159-AK159</f>
        <v>0</v>
      </c>
      <c r="AM159" s="21" t="str">
        <f>'Gen Rev'!A159</f>
        <v>Custar</v>
      </c>
      <c r="AN159" s="67" t="str">
        <f t="shared" si="9"/>
        <v>Custar</v>
      </c>
      <c r="AO159" s="67" t="b">
        <f t="shared" si="10"/>
        <v>1</v>
      </c>
    </row>
    <row r="160" spans="1:41" s="67" customFormat="1" ht="12" customHeight="1" x14ac:dyDescent="0.2">
      <c r="A160" s="1" t="s">
        <v>788</v>
      </c>
      <c r="B160" s="1"/>
      <c r="C160" s="1" t="s">
        <v>293</v>
      </c>
      <c r="D160" s="7"/>
      <c r="E160" s="48">
        <v>3950321</v>
      </c>
      <c r="F160" s="48"/>
      <c r="G160" s="48">
        <v>22655</v>
      </c>
      <c r="H160" s="48"/>
      <c r="I160" s="48">
        <v>169986</v>
      </c>
      <c r="J160" s="48"/>
      <c r="K160" s="48">
        <v>66055</v>
      </c>
      <c r="L160" s="48"/>
      <c r="M160" s="48">
        <v>64110</v>
      </c>
      <c r="N160" s="48"/>
      <c r="O160" s="48">
        <v>27960</v>
      </c>
      <c r="P160" s="48"/>
      <c r="Q160" s="48">
        <v>4323101</v>
      </c>
      <c r="R160" s="48"/>
      <c r="S160" s="48">
        <v>162589</v>
      </c>
      <c r="T160" s="48"/>
      <c r="U160" s="48">
        <v>0</v>
      </c>
      <c r="V160" s="48"/>
      <c r="W160" s="48">
        <v>0</v>
      </c>
      <c r="X160" s="48"/>
      <c r="Y160" s="48">
        <v>1244000</v>
      </c>
      <c r="Z160" s="48"/>
      <c r="AA160" s="48">
        <v>0</v>
      </c>
      <c r="AB160" s="48"/>
      <c r="AC160" s="48">
        <v>0</v>
      </c>
      <c r="AD160" s="48"/>
      <c r="AE160" s="48">
        <f t="shared" si="8"/>
        <v>10030777</v>
      </c>
      <c r="AF160" s="48"/>
      <c r="AG160" s="59"/>
      <c r="AH160" s="59"/>
      <c r="AI160" s="59"/>
      <c r="AJ160" s="59"/>
      <c r="AK160" s="59"/>
      <c r="AL160" s="8">
        <f>+'Gen Rev'!AI160-'Gen Exp'!AE160+'Gen Exp'!AI160-AK160</f>
        <v>-622901</v>
      </c>
      <c r="AM160" s="21" t="str">
        <f>'Gen Rev'!A160</f>
        <v>Cuyahoga Heights</v>
      </c>
      <c r="AN160" s="67" t="str">
        <f t="shared" si="9"/>
        <v>Cuyahoga Heights</v>
      </c>
      <c r="AO160" s="67" t="b">
        <f t="shared" si="10"/>
        <v>1</v>
      </c>
    </row>
    <row r="161" spans="1:41" ht="12" customHeight="1" x14ac:dyDescent="0.2">
      <c r="A161" s="1" t="s">
        <v>713</v>
      </c>
      <c r="C161" s="1" t="s">
        <v>558</v>
      </c>
      <c r="E161" s="48">
        <v>23281.19</v>
      </c>
      <c r="F161" s="48"/>
      <c r="G161" s="48">
        <v>0</v>
      </c>
      <c r="H161" s="48"/>
      <c r="I161" s="48">
        <v>10582.17</v>
      </c>
      <c r="J161" s="48"/>
      <c r="K161" s="48">
        <v>723.03</v>
      </c>
      <c r="L161" s="48"/>
      <c r="M161" s="48">
        <v>0</v>
      </c>
      <c r="N161" s="48"/>
      <c r="O161" s="48">
        <v>0</v>
      </c>
      <c r="P161" s="48"/>
      <c r="Q161" s="48">
        <v>144429.71</v>
      </c>
      <c r="R161" s="48"/>
      <c r="S161" s="48">
        <v>0</v>
      </c>
      <c r="T161" s="48"/>
      <c r="U161" s="48">
        <v>0</v>
      </c>
      <c r="V161" s="48"/>
      <c r="W161" s="48">
        <v>0</v>
      </c>
      <c r="X161" s="48"/>
      <c r="Y161" s="48">
        <v>0</v>
      </c>
      <c r="Z161" s="48"/>
      <c r="AA161" s="48">
        <v>0</v>
      </c>
      <c r="AB161" s="48"/>
      <c r="AC161" s="48">
        <v>0</v>
      </c>
      <c r="AD161" s="48"/>
      <c r="AE161" s="48">
        <f t="shared" si="8"/>
        <v>179016.09999999998</v>
      </c>
      <c r="AG161" s="55">
        <v>-49353.94</v>
      </c>
      <c r="AI161" s="55">
        <v>140592.10999999999</v>
      </c>
      <c r="AK161" s="55">
        <v>91238.17</v>
      </c>
      <c r="AL161" s="8">
        <f>+'Gen Rev'!AI161-'Gen Exp'!AE161+'Gen Exp'!AI161-AK161</f>
        <v>0</v>
      </c>
      <c r="AM161" s="21" t="str">
        <f>'Gen Rev'!A161</f>
        <v>Cygnet</v>
      </c>
      <c r="AN161" s="67" t="str">
        <f t="shared" si="9"/>
        <v>Cygnet</v>
      </c>
      <c r="AO161" s="67" t="b">
        <f t="shared" si="10"/>
        <v>1</v>
      </c>
    </row>
    <row r="162" spans="1:41" s="67" customFormat="1" ht="12" customHeight="1" x14ac:dyDescent="0.2">
      <c r="A162" s="1" t="s">
        <v>549</v>
      </c>
      <c r="B162" s="1"/>
      <c r="C162" s="1" t="s">
        <v>547</v>
      </c>
      <c r="D162" s="1"/>
      <c r="E162" s="48">
        <v>316589</v>
      </c>
      <c r="F162" s="48"/>
      <c r="G162" s="48">
        <v>8765</v>
      </c>
      <c r="H162" s="48"/>
      <c r="I162" s="48">
        <v>7224</v>
      </c>
      <c r="J162" s="48"/>
      <c r="K162" s="48">
        <v>0</v>
      </c>
      <c r="L162" s="48"/>
      <c r="M162" s="48">
        <v>2489</v>
      </c>
      <c r="N162" s="48"/>
      <c r="O162" s="48">
        <v>63874</v>
      </c>
      <c r="P162" s="48"/>
      <c r="Q162" s="48">
        <v>88979</v>
      </c>
      <c r="R162" s="48"/>
      <c r="S162" s="48">
        <v>1275</v>
      </c>
      <c r="T162" s="48"/>
      <c r="U162" s="48">
        <v>0</v>
      </c>
      <c r="V162" s="48"/>
      <c r="W162" s="48">
        <v>0</v>
      </c>
      <c r="X162" s="48"/>
      <c r="Y162" s="48">
        <v>84406</v>
      </c>
      <c r="Z162" s="48"/>
      <c r="AA162" s="48">
        <v>0</v>
      </c>
      <c r="AB162" s="48"/>
      <c r="AC162" s="48">
        <v>15743</v>
      </c>
      <c r="AD162" s="48"/>
      <c r="AE162" s="48">
        <f t="shared" ref="AE162:AE196" si="11">SUM(E162:AC162)</f>
        <v>589344</v>
      </c>
      <c r="AF162" s="48"/>
      <c r="AG162" s="59"/>
      <c r="AH162" s="59"/>
      <c r="AI162" s="59"/>
      <c r="AJ162" s="59"/>
      <c r="AK162" s="59"/>
      <c r="AL162" s="8">
        <f>+'Gen Rev'!AI162-'Gen Exp'!AE162+'Gen Exp'!AI162-AK162</f>
        <v>78326</v>
      </c>
      <c r="AM162" s="21" t="str">
        <f>'Gen Rev'!A162</f>
        <v>Dalton</v>
      </c>
      <c r="AN162" s="67" t="str">
        <f t="shared" si="9"/>
        <v>Dalton</v>
      </c>
      <c r="AO162" s="67" t="b">
        <f t="shared" si="10"/>
        <v>1</v>
      </c>
    </row>
    <row r="163" spans="1:41" s="67" customFormat="1" ht="12" customHeight="1" x14ac:dyDescent="0.2">
      <c r="A163" s="1" t="s">
        <v>395</v>
      </c>
      <c r="B163" s="1"/>
      <c r="C163" s="1" t="s">
        <v>396</v>
      </c>
      <c r="D163" s="1"/>
      <c r="E163" s="48">
        <v>15119.58</v>
      </c>
      <c r="F163" s="48"/>
      <c r="G163" s="48">
        <v>2.34</v>
      </c>
      <c r="H163" s="48"/>
      <c r="I163" s="48">
        <v>500</v>
      </c>
      <c r="J163" s="48"/>
      <c r="K163" s="48">
        <v>3349.64</v>
      </c>
      <c r="L163" s="48"/>
      <c r="M163" s="48">
        <v>0</v>
      </c>
      <c r="N163" s="48"/>
      <c r="O163" s="48">
        <v>0</v>
      </c>
      <c r="P163" s="48"/>
      <c r="Q163" s="48">
        <v>135331.57999999999</v>
      </c>
      <c r="R163" s="48"/>
      <c r="S163" s="48">
        <v>0</v>
      </c>
      <c r="T163" s="48"/>
      <c r="U163" s="48">
        <v>0</v>
      </c>
      <c r="V163" s="48"/>
      <c r="W163" s="48">
        <v>0</v>
      </c>
      <c r="X163" s="48"/>
      <c r="Y163" s="48">
        <v>80000</v>
      </c>
      <c r="Z163" s="48"/>
      <c r="AA163" s="48">
        <v>0</v>
      </c>
      <c r="AB163" s="48"/>
      <c r="AC163" s="48">
        <v>8243</v>
      </c>
      <c r="AD163" s="48"/>
      <c r="AE163" s="48">
        <f t="shared" si="11"/>
        <v>242546.13999999998</v>
      </c>
      <c r="AF163" s="1"/>
      <c r="AG163" s="55">
        <v>40010.17</v>
      </c>
      <c r="AH163" s="55"/>
      <c r="AI163" s="55">
        <v>163771.12</v>
      </c>
      <c r="AJ163" s="55"/>
      <c r="AK163" s="55">
        <v>203781.29</v>
      </c>
      <c r="AL163" s="8">
        <f>+'Gen Rev'!AI163-'Gen Exp'!AE163+'Gen Exp'!AI163-AK163</f>
        <v>0</v>
      </c>
      <c r="AM163" s="21" t="str">
        <f>'Gen Rev'!A163</f>
        <v>Danville</v>
      </c>
      <c r="AN163" s="67" t="str">
        <f t="shared" si="9"/>
        <v>Danville</v>
      </c>
      <c r="AO163" s="67" t="b">
        <f t="shared" si="10"/>
        <v>1</v>
      </c>
    </row>
    <row r="164" spans="1:41" s="67" customFormat="1" ht="12" customHeight="1" x14ac:dyDescent="0.2">
      <c r="A164" s="1" t="s">
        <v>374</v>
      </c>
      <c r="B164" s="1"/>
      <c r="C164" s="1" t="s">
        <v>373</v>
      </c>
      <c r="D164" s="6"/>
      <c r="E164" s="48">
        <v>600</v>
      </c>
      <c r="F164" s="48"/>
      <c r="G164" s="48">
        <v>0</v>
      </c>
      <c r="H164" s="48"/>
      <c r="I164" s="48">
        <v>0</v>
      </c>
      <c r="J164" s="48"/>
      <c r="K164" s="48">
        <v>0</v>
      </c>
      <c r="L164" s="48"/>
      <c r="M164" s="48">
        <v>1260</v>
      </c>
      <c r="N164" s="48"/>
      <c r="O164" s="48">
        <v>0</v>
      </c>
      <c r="P164" s="48"/>
      <c r="Q164" s="48">
        <v>14196</v>
      </c>
      <c r="R164" s="48"/>
      <c r="S164" s="48">
        <v>0</v>
      </c>
      <c r="T164" s="48"/>
      <c r="U164" s="48">
        <v>0</v>
      </c>
      <c r="V164" s="48"/>
      <c r="W164" s="48">
        <v>0</v>
      </c>
      <c r="X164" s="48"/>
      <c r="Y164" s="48">
        <v>2</v>
      </c>
      <c r="Z164" s="48"/>
      <c r="AA164" s="48">
        <v>0</v>
      </c>
      <c r="AB164" s="48"/>
      <c r="AC164" s="48">
        <v>0</v>
      </c>
      <c r="AD164" s="48"/>
      <c r="AE164" s="48">
        <f t="shared" si="11"/>
        <v>16058</v>
      </c>
      <c r="AF164" s="48"/>
      <c r="AG164" s="59"/>
      <c r="AH164" s="59"/>
      <c r="AI164" s="59"/>
      <c r="AJ164" s="59"/>
      <c r="AK164" s="59"/>
      <c r="AL164" s="8">
        <f>+'Gen Rev'!AI164-'Gen Exp'!AE164+'Gen Exp'!AI164-AK164</f>
        <v>-3030</v>
      </c>
      <c r="AM164" s="21" t="str">
        <f>'Gen Rev'!A164</f>
        <v>Deersville</v>
      </c>
      <c r="AN164" s="67" t="str">
        <f t="shared" si="9"/>
        <v>Deersville</v>
      </c>
      <c r="AO164" s="67" t="b">
        <f t="shared" si="10"/>
        <v>1</v>
      </c>
    </row>
    <row r="165" spans="1:41" ht="12" customHeight="1" x14ac:dyDescent="0.2">
      <c r="A165" s="1" t="s">
        <v>851</v>
      </c>
      <c r="C165" s="1" t="s">
        <v>414</v>
      </c>
      <c r="E165" s="48">
        <v>70675.95</v>
      </c>
      <c r="F165" s="48"/>
      <c r="G165" s="48">
        <v>0</v>
      </c>
      <c r="H165" s="48"/>
      <c r="I165" s="48">
        <v>3837.91</v>
      </c>
      <c r="J165" s="48"/>
      <c r="K165" s="48">
        <v>3853.37</v>
      </c>
      <c r="L165" s="48"/>
      <c r="M165" s="48">
        <v>0</v>
      </c>
      <c r="N165" s="48"/>
      <c r="O165" s="48">
        <v>30489.81</v>
      </c>
      <c r="P165" s="48"/>
      <c r="Q165" s="48">
        <v>109381.75999999999</v>
      </c>
      <c r="R165" s="48"/>
      <c r="S165" s="48">
        <v>0</v>
      </c>
      <c r="T165" s="48"/>
      <c r="U165" s="48">
        <v>1333.33</v>
      </c>
      <c r="V165" s="48"/>
      <c r="W165" s="48">
        <v>881.68</v>
      </c>
      <c r="X165" s="48"/>
      <c r="Y165" s="48">
        <v>2000</v>
      </c>
      <c r="Z165" s="48"/>
      <c r="AA165" s="48">
        <v>34388.050000000003</v>
      </c>
      <c r="AB165" s="48"/>
      <c r="AC165" s="48">
        <v>0</v>
      </c>
      <c r="AD165" s="48"/>
      <c r="AE165" s="48">
        <f t="shared" si="11"/>
        <v>256841.86</v>
      </c>
      <c r="AG165" s="55">
        <v>-8110.79</v>
      </c>
      <c r="AI165" s="55">
        <v>9789.98</v>
      </c>
      <c r="AK165" s="55">
        <v>1679.19</v>
      </c>
      <c r="AL165" s="8">
        <f>+'Gen Rev'!AI165-'Gen Exp'!AE165+'Gen Exp'!AI165-AK165</f>
        <v>2.0463630789890885E-11</v>
      </c>
      <c r="AM165" s="21" t="str">
        <f>'Gen Rev'!A165</f>
        <v>Degraff</v>
      </c>
      <c r="AN165" s="67" t="str">
        <f t="shared" si="9"/>
        <v>Degraff</v>
      </c>
      <c r="AO165" s="67" t="b">
        <f t="shared" si="10"/>
        <v>1</v>
      </c>
    </row>
    <row r="166" spans="1:41" ht="12" customHeight="1" x14ac:dyDescent="0.2">
      <c r="A166" s="1" t="s">
        <v>27</v>
      </c>
      <c r="C166" s="1" t="s">
        <v>57</v>
      </c>
      <c r="E166" s="48">
        <v>17867.46</v>
      </c>
      <c r="F166" s="48"/>
      <c r="G166" s="48">
        <v>2169.92</v>
      </c>
      <c r="H166" s="48"/>
      <c r="I166" s="48">
        <v>0</v>
      </c>
      <c r="J166" s="48"/>
      <c r="K166" s="48">
        <v>186.4</v>
      </c>
      <c r="L166" s="48"/>
      <c r="M166" s="48">
        <v>0</v>
      </c>
      <c r="N166" s="48"/>
      <c r="O166" s="48">
        <v>499</v>
      </c>
      <c r="P166" s="48"/>
      <c r="Q166" s="48">
        <v>40812.730000000003</v>
      </c>
      <c r="R166" s="48"/>
      <c r="S166" s="48">
        <v>9464.32</v>
      </c>
      <c r="T166" s="48"/>
      <c r="U166" s="48">
        <v>5119.7299999999996</v>
      </c>
      <c r="V166" s="48"/>
      <c r="W166" s="48">
        <v>221.23</v>
      </c>
      <c r="X166" s="48"/>
      <c r="Y166" s="48">
        <v>0</v>
      </c>
      <c r="Z166" s="48"/>
      <c r="AA166" s="48">
        <v>0</v>
      </c>
      <c r="AB166" s="48"/>
      <c r="AC166" s="48">
        <v>36.54</v>
      </c>
      <c r="AD166" s="48"/>
      <c r="AE166" s="48">
        <f t="shared" si="11"/>
        <v>76377.329999999987</v>
      </c>
      <c r="AG166" s="55">
        <v>-9501.4</v>
      </c>
      <c r="AI166" s="55">
        <v>46486.62</v>
      </c>
      <c r="AK166" s="55">
        <v>36985.22</v>
      </c>
      <c r="AL166" s="8">
        <f>+'Gen Rev'!AI166-'Gen Exp'!AE166+'Gen Exp'!AI166-AK166</f>
        <v>0</v>
      </c>
      <c r="AM166" s="21" t="str">
        <f>'Gen Rev'!A166</f>
        <v>Dellroy</v>
      </c>
      <c r="AN166" s="67" t="str">
        <f t="shared" si="9"/>
        <v>Dellroy</v>
      </c>
      <c r="AO166" s="67" t="b">
        <f t="shared" si="10"/>
        <v>1</v>
      </c>
    </row>
    <row r="167" spans="1:41" ht="12" customHeight="1" x14ac:dyDescent="0.2">
      <c r="A167" s="1" t="s">
        <v>333</v>
      </c>
      <c r="C167" s="1" t="s">
        <v>332</v>
      </c>
      <c r="D167" s="6"/>
      <c r="E167" s="48">
        <v>35551</v>
      </c>
      <c r="F167" s="48"/>
      <c r="G167" s="48">
        <v>48834</v>
      </c>
      <c r="H167" s="48"/>
      <c r="I167" s="48">
        <v>0</v>
      </c>
      <c r="J167" s="48"/>
      <c r="K167" s="48">
        <v>4801</v>
      </c>
      <c r="L167" s="48"/>
      <c r="M167" s="48">
        <v>60695</v>
      </c>
      <c r="N167" s="48"/>
      <c r="O167" s="48">
        <v>48575</v>
      </c>
      <c r="P167" s="48"/>
      <c r="Q167" s="48">
        <v>177425</v>
      </c>
      <c r="R167" s="48"/>
      <c r="S167" s="48">
        <v>0</v>
      </c>
      <c r="T167" s="48"/>
      <c r="U167" s="48">
        <v>0</v>
      </c>
      <c r="V167" s="48"/>
      <c r="W167" s="48">
        <v>0</v>
      </c>
      <c r="X167" s="48"/>
      <c r="Y167" s="48">
        <v>315028</v>
      </c>
      <c r="Z167" s="48"/>
      <c r="AA167" s="48">
        <v>0</v>
      </c>
      <c r="AB167" s="48"/>
      <c r="AC167" s="48">
        <v>0</v>
      </c>
      <c r="AD167" s="48"/>
      <c r="AE167" s="48">
        <f t="shared" si="11"/>
        <v>690909</v>
      </c>
      <c r="AF167" s="48"/>
      <c r="AG167" s="59"/>
      <c r="AH167" s="59"/>
      <c r="AI167" s="59"/>
      <c r="AJ167" s="59"/>
      <c r="AK167" s="59"/>
      <c r="AL167" s="8">
        <f>+'Gen Rev'!AI167-'Gen Exp'!AE167+'Gen Exp'!AI167-AK167</f>
        <v>56944</v>
      </c>
      <c r="AM167" s="21" t="str">
        <f>'Gen Rev'!A167</f>
        <v>Delta</v>
      </c>
      <c r="AN167" s="67" t="str">
        <f t="shared" si="9"/>
        <v>Delta</v>
      </c>
      <c r="AO167" s="67" t="b">
        <f t="shared" si="10"/>
        <v>1</v>
      </c>
    </row>
    <row r="168" spans="1:41" s="67" customFormat="1" ht="12" customHeight="1" x14ac:dyDescent="0.2">
      <c r="A168" s="1" t="s">
        <v>217</v>
      </c>
      <c r="B168" s="1"/>
      <c r="C168" s="1" t="s">
        <v>521</v>
      </c>
      <c r="D168" s="1"/>
      <c r="E168" s="48">
        <v>585679.87</v>
      </c>
      <c r="F168" s="48"/>
      <c r="G168" s="48">
        <v>105</v>
      </c>
      <c r="H168" s="48"/>
      <c r="I168" s="48">
        <v>134074.95000000001</v>
      </c>
      <c r="J168" s="48"/>
      <c r="K168" s="48">
        <v>16444.82</v>
      </c>
      <c r="L168" s="48"/>
      <c r="M168" s="48">
        <v>27737.51</v>
      </c>
      <c r="N168" s="48"/>
      <c r="O168" s="48">
        <v>0</v>
      </c>
      <c r="P168" s="48"/>
      <c r="Q168" s="48">
        <v>199729.36</v>
      </c>
      <c r="R168" s="48"/>
      <c r="S168" s="48">
        <v>110113.02</v>
      </c>
      <c r="T168" s="48"/>
      <c r="U168" s="48">
        <v>20549.5</v>
      </c>
      <c r="V168" s="48"/>
      <c r="W168" s="48">
        <v>3092.07</v>
      </c>
      <c r="X168" s="48"/>
      <c r="Y168" s="48">
        <v>0</v>
      </c>
      <c r="Z168" s="48"/>
      <c r="AA168" s="48">
        <v>0</v>
      </c>
      <c r="AB168" s="48"/>
      <c r="AC168" s="48">
        <v>0</v>
      </c>
      <c r="AD168" s="48"/>
      <c r="AE168" s="48">
        <f t="shared" si="11"/>
        <v>1097526.1000000001</v>
      </c>
      <c r="AF168" s="1"/>
      <c r="AG168" s="55">
        <v>-37226.49</v>
      </c>
      <c r="AH168" s="55"/>
      <c r="AI168" s="55">
        <v>440844.05</v>
      </c>
      <c r="AJ168" s="55"/>
      <c r="AK168" s="55">
        <v>403617.56</v>
      </c>
      <c r="AL168" s="8">
        <f>+'Gen Rev'!AI168-'Gen Exp'!AE168+'Gen Exp'!AI168-AK168</f>
        <v>0</v>
      </c>
      <c r="AM168" s="21" t="str">
        <f>'Gen Rev'!A168</f>
        <v>Dennison</v>
      </c>
      <c r="AN168" s="67" t="str">
        <f t="shared" si="9"/>
        <v>Dennison</v>
      </c>
      <c r="AO168" s="67" t="b">
        <f t="shared" si="10"/>
        <v>1</v>
      </c>
    </row>
    <row r="169" spans="1:41" ht="12" customHeight="1" x14ac:dyDescent="0.2">
      <c r="A169" s="1" t="s">
        <v>99</v>
      </c>
      <c r="C169" s="1" t="s">
        <v>377</v>
      </c>
      <c r="E169" s="48">
        <v>165386.38</v>
      </c>
      <c r="F169" s="48"/>
      <c r="G169" s="48">
        <v>6000</v>
      </c>
      <c r="H169" s="48"/>
      <c r="I169" s="48">
        <v>1671.71</v>
      </c>
      <c r="J169" s="48"/>
      <c r="K169" s="48">
        <v>7348.58</v>
      </c>
      <c r="L169" s="48"/>
      <c r="M169" s="48">
        <v>1841.95</v>
      </c>
      <c r="N169" s="48"/>
      <c r="O169" s="48">
        <v>1000</v>
      </c>
      <c r="P169" s="48"/>
      <c r="Q169" s="48">
        <v>61715.35</v>
      </c>
      <c r="R169" s="48"/>
      <c r="S169" s="48">
        <v>49314.99</v>
      </c>
      <c r="T169" s="48"/>
      <c r="U169" s="48">
        <v>5000</v>
      </c>
      <c r="V169" s="48"/>
      <c r="W169" s="48">
        <v>0</v>
      </c>
      <c r="X169" s="48"/>
      <c r="Y169" s="48">
        <v>70122.16</v>
      </c>
      <c r="Z169" s="48"/>
      <c r="AA169" s="48">
        <v>0</v>
      </c>
      <c r="AB169" s="48"/>
      <c r="AC169" s="48">
        <v>0</v>
      </c>
      <c r="AD169" s="48"/>
      <c r="AE169" s="48">
        <f t="shared" si="11"/>
        <v>369401.12</v>
      </c>
      <c r="AG169" s="55">
        <v>2361.9499999999998</v>
      </c>
      <c r="AI169" s="55">
        <v>775.1</v>
      </c>
      <c r="AK169" s="55">
        <v>3137.05</v>
      </c>
      <c r="AL169" s="8">
        <f>+'Gen Rev'!AI169-'Gen Exp'!AE169+'Gen Exp'!AI169-AK169</f>
        <v>1.1368683772161603E-11</v>
      </c>
      <c r="AM169" s="21" t="str">
        <f>'Gen Rev'!A169</f>
        <v>Deshler</v>
      </c>
      <c r="AN169" s="67" t="str">
        <f t="shared" si="9"/>
        <v>Deshler</v>
      </c>
      <c r="AO169" s="67" t="b">
        <f t="shared" si="10"/>
        <v>1</v>
      </c>
    </row>
    <row r="170" spans="1:41" s="5" customFormat="1" ht="12" customHeight="1" x14ac:dyDescent="0.2">
      <c r="A170" s="1" t="s">
        <v>111</v>
      </c>
      <c r="B170" s="1"/>
      <c r="C170" s="1" t="s">
        <v>390</v>
      </c>
      <c r="D170" s="1"/>
      <c r="E170" s="48">
        <v>46572.33</v>
      </c>
      <c r="F170" s="48"/>
      <c r="G170" s="48">
        <v>2000</v>
      </c>
      <c r="H170" s="48"/>
      <c r="I170" s="48">
        <v>7469.85</v>
      </c>
      <c r="J170" s="48"/>
      <c r="K170" s="48">
        <v>0</v>
      </c>
      <c r="L170" s="48"/>
      <c r="M170" s="48">
        <v>0</v>
      </c>
      <c r="N170" s="48"/>
      <c r="O170" s="48">
        <v>17017.36</v>
      </c>
      <c r="P170" s="48"/>
      <c r="Q170" s="48">
        <v>53665.81</v>
      </c>
      <c r="R170" s="48"/>
      <c r="S170" s="48">
        <v>55353</v>
      </c>
      <c r="T170" s="48"/>
      <c r="U170" s="48">
        <v>3305</v>
      </c>
      <c r="V170" s="48"/>
      <c r="W170" s="48">
        <v>507.04</v>
      </c>
      <c r="X170" s="48"/>
      <c r="Y170" s="48">
        <v>598.59</v>
      </c>
      <c r="Z170" s="48"/>
      <c r="AA170" s="48">
        <v>0</v>
      </c>
      <c r="AB170" s="48"/>
      <c r="AC170" s="48">
        <v>0</v>
      </c>
      <c r="AD170" s="48"/>
      <c r="AE170" s="48">
        <f t="shared" si="11"/>
        <v>186488.98</v>
      </c>
      <c r="AF170" s="1"/>
      <c r="AG170" s="55">
        <v>-44117.64</v>
      </c>
      <c r="AH170" s="55"/>
      <c r="AI170" s="55">
        <v>270023.32</v>
      </c>
      <c r="AJ170" s="55"/>
      <c r="AK170" s="55">
        <v>225905.68</v>
      </c>
      <c r="AL170" s="8">
        <f>+'Gen Rev'!AI170-'Gen Exp'!AE170+'Gen Exp'!AI170-AK170</f>
        <v>0</v>
      </c>
      <c r="AM170" s="21" t="str">
        <f>'Gen Rev'!A170</f>
        <v>Dillonvale</v>
      </c>
      <c r="AN170" s="67" t="str">
        <f t="shared" si="9"/>
        <v>Dillonvale</v>
      </c>
      <c r="AO170" s="67" t="b">
        <f t="shared" si="10"/>
        <v>1</v>
      </c>
    </row>
    <row r="171" spans="1:41" ht="12" customHeight="1" x14ac:dyDescent="0.2">
      <c r="A171" s="1" t="s">
        <v>699</v>
      </c>
      <c r="C171" s="1" t="s">
        <v>274</v>
      </c>
      <c r="E171" s="48">
        <v>18496.12</v>
      </c>
      <c r="F171" s="48"/>
      <c r="G171" s="48">
        <v>0</v>
      </c>
      <c r="H171" s="48"/>
      <c r="I171" s="48">
        <v>0</v>
      </c>
      <c r="J171" s="48"/>
      <c r="K171" s="48">
        <v>0</v>
      </c>
      <c r="L171" s="48"/>
      <c r="M171" s="48">
        <v>0</v>
      </c>
      <c r="N171" s="48"/>
      <c r="O171" s="48">
        <v>0</v>
      </c>
      <c r="P171" s="48"/>
      <c r="Q171" s="48">
        <v>30403.79</v>
      </c>
      <c r="R171" s="48"/>
      <c r="S171" s="48">
        <v>0</v>
      </c>
      <c r="T171" s="48"/>
      <c r="U171" s="48">
        <v>0</v>
      </c>
      <c r="V171" s="48"/>
      <c r="W171" s="48">
        <v>0</v>
      </c>
      <c r="X171" s="48"/>
      <c r="Y171" s="48">
        <v>0</v>
      </c>
      <c r="Z171" s="48"/>
      <c r="AA171" s="48">
        <v>0</v>
      </c>
      <c r="AB171" s="48"/>
      <c r="AC171" s="48">
        <v>0</v>
      </c>
      <c r="AD171" s="48"/>
      <c r="AE171" s="48">
        <f t="shared" si="11"/>
        <v>48899.91</v>
      </c>
      <c r="AG171" s="55">
        <v>5470.98</v>
      </c>
      <c r="AI171" s="55">
        <v>144612.54</v>
      </c>
      <c r="AK171" s="55">
        <v>150083.51999999999</v>
      </c>
      <c r="AL171" s="8">
        <f>+'Gen Rev'!AI171-'Gen Exp'!AE171+'Gen Exp'!AI171-AK171</f>
        <v>0</v>
      </c>
      <c r="AM171" s="21" t="str">
        <f>'Gen Rev'!A171</f>
        <v>Donnelsville</v>
      </c>
      <c r="AN171" s="67" t="str">
        <f t="shared" si="9"/>
        <v>Donnelsville</v>
      </c>
      <c r="AO171" s="67" t="b">
        <f t="shared" si="10"/>
        <v>1</v>
      </c>
    </row>
    <row r="172" spans="1:41" ht="12" customHeight="1" x14ac:dyDescent="0.2">
      <c r="A172" s="1" t="s">
        <v>550</v>
      </c>
      <c r="C172" s="1" t="s">
        <v>547</v>
      </c>
      <c r="E172" s="48">
        <v>545199.81000000006</v>
      </c>
      <c r="F172" s="48"/>
      <c r="G172" s="48">
        <v>0</v>
      </c>
      <c r="H172" s="48"/>
      <c r="I172" s="48">
        <v>58034.07</v>
      </c>
      <c r="J172" s="48"/>
      <c r="K172" s="48">
        <v>26681.26</v>
      </c>
      <c r="L172" s="48"/>
      <c r="M172" s="48">
        <v>0</v>
      </c>
      <c r="N172" s="48"/>
      <c r="O172" s="48">
        <v>0</v>
      </c>
      <c r="P172" s="48"/>
      <c r="Q172" s="48">
        <v>292612.55</v>
      </c>
      <c r="R172" s="48"/>
      <c r="S172" s="48">
        <v>0</v>
      </c>
      <c r="T172" s="48"/>
      <c r="U172" s="48">
        <v>0</v>
      </c>
      <c r="V172" s="48"/>
      <c r="W172" s="48">
        <v>0</v>
      </c>
      <c r="X172" s="48"/>
      <c r="Y172" s="48">
        <v>215500</v>
      </c>
      <c r="Z172" s="48"/>
      <c r="AA172" s="48">
        <v>0</v>
      </c>
      <c r="AB172" s="48"/>
      <c r="AC172" s="48">
        <v>0</v>
      </c>
      <c r="AD172" s="48"/>
      <c r="AE172" s="48">
        <f t="shared" si="11"/>
        <v>1138027.69</v>
      </c>
      <c r="AG172" s="55">
        <v>-97856.79</v>
      </c>
      <c r="AI172" s="55">
        <v>391916.41</v>
      </c>
      <c r="AK172" s="55">
        <v>294059.62</v>
      </c>
      <c r="AL172" s="8">
        <f>+'Gen Rev'!AI172-'Gen Exp'!AE172+'Gen Exp'!AI172-AK172</f>
        <v>0</v>
      </c>
      <c r="AM172" s="21" t="str">
        <f>'Gen Rev'!A172</f>
        <v>Doylestown</v>
      </c>
      <c r="AN172" s="67" t="str">
        <f t="shared" si="9"/>
        <v>Doylestown</v>
      </c>
      <c r="AO172" s="67" t="b">
        <f t="shared" si="10"/>
        <v>1</v>
      </c>
    </row>
    <row r="173" spans="1:41" ht="12" customHeight="1" x14ac:dyDescent="0.2">
      <c r="A173" s="1" t="s">
        <v>160</v>
      </c>
      <c r="C173" s="1" t="s">
        <v>450</v>
      </c>
      <c r="E173" s="48">
        <v>234428.53</v>
      </c>
      <c r="F173" s="48"/>
      <c r="G173" s="48">
        <v>0</v>
      </c>
      <c r="H173" s="48"/>
      <c r="I173" s="48">
        <v>0</v>
      </c>
      <c r="J173" s="48"/>
      <c r="K173" s="48">
        <v>0</v>
      </c>
      <c r="L173" s="48"/>
      <c r="M173" s="48">
        <v>0</v>
      </c>
      <c r="N173" s="48"/>
      <c r="O173" s="48">
        <v>0</v>
      </c>
      <c r="P173" s="48"/>
      <c r="Q173" s="48">
        <v>96290.89</v>
      </c>
      <c r="R173" s="48"/>
      <c r="S173" s="48">
        <v>0</v>
      </c>
      <c r="T173" s="48"/>
      <c r="U173" s="48">
        <v>0</v>
      </c>
      <c r="V173" s="48"/>
      <c r="W173" s="48">
        <v>0</v>
      </c>
      <c r="X173" s="48"/>
      <c r="Y173" s="48">
        <v>8102.1</v>
      </c>
      <c r="Z173" s="48"/>
      <c r="AA173" s="48">
        <v>0</v>
      </c>
      <c r="AB173" s="48"/>
      <c r="AC173" s="48">
        <v>204.96</v>
      </c>
      <c r="AD173" s="48"/>
      <c r="AE173" s="48">
        <f t="shared" si="11"/>
        <v>339026.48</v>
      </c>
      <c r="AG173" s="55">
        <v>-15022.54</v>
      </c>
      <c r="AI173" s="55">
        <v>17346.61</v>
      </c>
      <c r="AK173" s="55">
        <v>2324.0700000000002</v>
      </c>
      <c r="AL173" s="8">
        <f>+'Gen Rev'!AI173-'Gen Exp'!AE173+'Gen Exp'!AI173-AK173</f>
        <v>2.1373125491663814E-11</v>
      </c>
      <c r="AM173" s="21" t="str">
        <f>'Gen Rev'!A173</f>
        <v>Dresden</v>
      </c>
      <c r="AN173" s="67" t="str">
        <f t="shared" si="9"/>
        <v>Dresden</v>
      </c>
      <c r="AO173" s="67" t="b">
        <f t="shared" si="10"/>
        <v>1</v>
      </c>
    </row>
    <row r="174" spans="1:41" s="67" customFormat="1" ht="12" customHeight="1" x14ac:dyDescent="0.2">
      <c r="A174" s="1" t="s">
        <v>367</v>
      </c>
      <c r="B174" s="1"/>
      <c r="C174" s="1" t="s">
        <v>366</v>
      </c>
      <c r="D174" s="1"/>
      <c r="E174" s="48">
        <v>23358.080000000002</v>
      </c>
      <c r="F174" s="48"/>
      <c r="G174" s="48">
        <v>8508.75</v>
      </c>
      <c r="H174" s="48"/>
      <c r="I174" s="48">
        <v>9523.3799999999992</v>
      </c>
      <c r="J174" s="48"/>
      <c r="K174" s="48">
        <v>2445.77</v>
      </c>
      <c r="L174" s="48"/>
      <c r="M174" s="48">
        <v>456</v>
      </c>
      <c r="N174" s="48"/>
      <c r="O174" s="48">
        <v>6836.02</v>
      </c>
      <c r="P174" s="48"/>
      <c r="Q174" s="48">
        <v>91090.69</v>
      </c>
      <c r="R174" s="48"/>
      <c r="S174" s="48">
        <v>685</v>
      </c>
      <c r="T174" s="48"/>
      <c r="U174" s="48">
        <v>0</v>
      </c>
      <c r="V174" s="48"/>
      <c r="W174" s="48">
        <v>0</v>
      </c>
      <c r="X174" s="48"/>
      <c r="Y174" s="48">
        <v>0</v>
      </c>
      <c r="Z174" s="48"/>
      <c r="AA174" s="48">
        <v>0</v>
      </c>
      <c r="AB174" s="48"/>
      <c r="AC174" s="48">
        <v>0</v>
      </c>
      <c r="AD174" s="48"/>
      <c r="AE174" s="48">
        <f t="shared" si="11"/>
        <v>142903.69</v>
      </c>
      <c r="AF174" s="1"/>
      <c r="AG174" s="55">
        <v>-7838.73</v>
      </c>
      <c r="AH174" s="55"/>
      <c r="AI174" s="55">
        <v>135029.14000000001</v>
      </c>
      <c r="AJ174" s="55"/>
      <c r="AK174" s="55">
        <v>127190.41</v>
      </c>
      <c r="AL174" s="8">
        <f>+'Gen Rev'!AI174-'Gen Exp'!AE174+'Gen Exp'!AI174-AK174</f>
        <v>0</v>
      </c>
      <c r="AM174" s="21" t="str">
        <f>'Gen Rev'!A174</f>
        <v>Dunkirk</v>
      </c>
      <c r="AN174" s="67" t="str">
        <f t="shared" si="9"/>
        <v>Dunkirk</v>
      </c>
      <c r="AO174" s="67" t="b">
        <f t="shared" si="10"/>
        <v>1</v>
      </c>
    </row>
    <row r="175" spans="1:41" ht="12" customHeight="1" x14ac:dyDescent="0.2">
      <c r="A175" s="1" t="s">
        <v>188</v>
      </c>
      <c r="C175" s="1" t="s">
        <v>476</v>
      </c>
      <c r="E175" s="48">
        <v>5974.28</v>
      </c>
      <c r="F175" s="48"/>
      <c r="G175" s="48">
        <v>436.37</v>
      </c>
      <c r="H175" s="48"/>
      <c r="I175" s="48">
        <v>0</v>
      </c>
      <c r="J175" s="48"/>
      <c r="K175" s="48">
        <v>0</v>
      </c>
      <c r="L175" s="48"/>
      <c r="M175" s="48">
        <v>328.56</v>
      </c>
      <c r="N175" s="48"/>
      <c r="O175" s="48">
        <v>0</v>
      </c>
      <c r="P175" s="48"/>
      <c r="Q175" s="48">
        <v>26193.27</v>
      </c>
      <c r="R175" s="48"/>
      <c r="S175" s="48">
        <v>3263.45</v>
      </c>
      <c r="T175" s="48"/>
      <c r="U175" s="48">
        <v>0</v>
      </c>
      <c r="V175" s="48"/>
      <c r="W175" s="48">
        <v>0</v>
      </c>
      <c r="X175" s="48"/>
      <c r="Y175" s="48">
        <v>0</v>
      </c>
      <c r="Z175" s="48"/>
      <c r="AA175" s="48">
        <v>0</v>
      </c>
      <c r="AB175" s="48"/>
      <c r="AC175" s="48">
        <v>0</v>
      </c>
      <c r="AD175" s="48"/>
      <c r="AE175" s="48">
        <f t="shared" si="11"/>
        <v>36195.93</v>
      </c>
      <c r="AG175" s="55">
        <v>-1441.89</v>
      </c>
      <c r="AI175" s="55">
        <v>24342.15</v>
      </c>
      <c r="AK175" s="55">
        <v>22900.26</v>
      </c>
      <c r="AL175" s="8">
        <f>+'Gen Rev'!AI175-'Gen Exp'!AE175+'Gen Exp'!AI175-AK175</f>
        <v>0</v>
      </c>
      <c r="AM175" s="21" t="str">
        <f>'Gen Rev'!A175</f>
        <v>Dupont</v>
      </c>
      <c r="AN175" s="67" t="str">
        <f t="shared" si="9"/>
        <v>Dupont</v>
      </c>
      <c r="AO175" s="67" t="b">
        <f t="shared" si="10"/>
        <v>1</v>
      </c>
    </row>
    <row r="176" spans="1:41" s="67" customFormat="1" ht="12" customHeight="1" x14ac:dyDescent="0.2">
      <c r="A176" s="1" t="s">
        <v>504</v>
      </c>
      <c r="B176" s="1"/>
      <c r="C176" s="1" t="s">
        <v>502</v>
      </c>
      <c r="D176" s="1"/>
      <c r="E176" s="48">
        <v>261534.11</v>
      </c>
      <c r="F176" s="48"/>
      <c r="G176" s="48">
        <v>6113.25</v>
      </c>
      <c r="H176" s="48"/>
      <c r="I176" s="48">
        <v>0</v>
      </c>
      <c r="J176" s="48"/>
      <c r="K176" s="48">
        <v>3000.25</v>
      </c>
      <c r="L176" s="48"/>
      <c r="M176" s="48">
        <v>0</v>
      </c>
      <c r="N176" s="48"/>
      <c r="O176" s="48">
        <v>40119.760000000002</v>
      </c>
      <c r="P176" s="48"/>
      <c r="Q176" s="48">
        <v>181588.93</v>
      </c>
      <c r="R176" s="48"/>
      <c r="S176" s="48">
        <v>0</v>
      </c>
      <c r="T176" s="48"/>
      <c r="U176" s="48">
        <v>0</v>
      </c>
      <c r="V176" s="48"/>
      <c r="W176" s="48">
        <v>0</v>
      </c>
      <c r="X176" s="48"/>
      <c r="Y176" s="48">
        <v>10000</v>
      </c>
      <c r="Z176" s="48"/>
      <c r="AA176" s="48">
        <v>0</v>
      </c>
      <c r="AB176" s="48"/>
      <c r="AC176" s="48">
        <v>0</v>
      </c>
      <c r="AD176" s="48"/>
      <c r="AE176" s="48">
        <f t="shared" si="11"/>
        <v>502356.3</v>
      </c>
      <c r="AF176" s="1"/>
      <c r="AG176" s="55">
        <v>-82559.77</v>
      </c>
      <c r="AH176" s="55"/>
      <c r="AI176" s="55">
        <v>373307.98</v>
      </c>
      <c r="AJ176" s="55"/>
      <c r="AK176" s="55">
        <v>290748.21000000002</v>
      </c>
      <c r="AL176" s="8">
        <f>+'Gen Rev'!AI176-'Gen Exp'!AE176+'Gen Exp'!AI176-AK176</f>
        <v>0</v>
      </c>
      <c r="AM176" s="21" t="str">
        <f>'Gen Rev'!A176</f>
        <v>East Canton</v>
      </c>
      <c r="AN176" s="67" t="str">
        <f t="shared" si="9"/>
        <v>East Canton</v>
      </c>
      <c r="AO176" s="67" t="b">
        <f t="shared" si="10"/>
        <v>1</v>
      </c>
    </row>
    <row r="177" spans="1:41" s="67" customFormat="1" ht="12" customHeight="1" x14ac:dyDescent="0.2">
      <c r="A177" s="1" t="s">
        <v>818</v>
      </c>
      <c r="B177" s="1"/>
      <c r="C177" s="1" t="s">
        <v>283</v>
      </c>
      <c r="D177" s="5"/>
      <c r="E177" s="48">
        <v>975660</v>
      </c>
      <c r="F177" s="48"/>
      <c r="G177" s="48">
        <v>0</v>
      </c>
      <c r="H177" s="48"/>
      <c r="I177" s="48">
        <v>0</v>
      </c>
      <c r="J177" s="48"/>
      <c r="K177" s="48">
        <v>0</v>
      </c>
      <c r="L177" s="48"/>
      <c r="M177" s="48">
        <v>0</v>
      </c>
      <c r="N177" s="48"/>
      <c r="O177" s="48">
        <v>0</v>
      </c>
      <c r="P177" s="48"/>
      <c r="Q177" s="48">
        <v>573765</v>
      </c>
      <c r="R177" s="48"/>
      <c r="S177" s="48">
        <v>0</v>
      </c>
      <c r="T177" s="48"/>
      <c r="U177" s="48">
        <v>284689</v>
      </c>
      <c r="V177" s="48"/>
      <c r="W177" s="48">
        <v>1737</v>
      </c>
      <c r="X177" s="48"/>
      <c r="Y177" s="48">
        <v>114448</v>
      </c>
      <c r="Z177" s="48"/>
      <c r="AA177" s="48">
        <v>0</v>
      </c>
      <c r="AB177" s="48"/>
      <c r="AC177" s="48">
        <v>0</v>
      </c>
      <c r="AD177" s="48"/>
      <c r="AE177" s="48">
        <f t="shared" si="11"/>
        <v>1950299</v>
      </c>
      <c r="AF177" s="48"/>
      <c r="AG177" s="59"/>
      <c r="AH177" s="59"/>
      <c r="AI177" s="59"/>
      <c r="AJ177" s="59"/>
      <c r="AK177" s="59"/>
      <c r="AL177" s="8">
        <f>+'Gen Rev'!AI177-'Gen Exp'!AE177+'Gen Exp'!AI177-AK177</f>
        <v>89657</v>
      </c>
      <c r="AM177" s="21" t="str">
        <f>'Gen Rev'!A177</f>
        <v>East Palestine</v>
      </c>
      <c r="AN177" s="67" t="str">
        <f t="shared" si="9"/>
        <v>East Palestine</v>
      </c>
      <c r="AO177" s="67" t="b">
        <f t="shared" si="10"/>
        <v>1</v>
      </c>
    </row>
    <row r="178" spans="1:41" ht="12" customHeight="1" x14ac:dyDescent="0.2">
      <c r="A178" s="1" t="s">
        <v>209</v>
      </c>
      <c r="C178" s="1" t="s">
        <v>502</v>
      </c>
      <c r="E178" s="48">
        <v>69844.28</v>
      </c>
      <c r="F178" s="48"/>
      <c r="G178" s="48">
        <v>4370</v>
      </c>
      <c r="H178" s="48"/>
      <c r="I178" s="48">
        <v>0</v>
      </c>
      <c r="J178" s="48"/>
      <c r="K178" s="48">
        <v>0</v>
      </c>
      <c r="L178" s="48"/>
      <c r="M178" s="48">
        <v>0</v>
      </c>
      <c r="N178" s="48"/>
      <c r="O178" s="48">
        <v>3720.49</v>
      </c>
      <c r="P178" s="48"/>
      <c r="Q178" s="48">
        <v>105129.63</v>
      </c>
      <c r="R178" s="48"/>
      <c r="S178" s="48">
        <v>1054.9100000000001</v>
      </c>
      <c r="T178" s="48"/>
      <c r="U178" s="48">
        <v>2521.19</v>
      </c>
      <c r="V178" s="48"/>
      <c r="W178" s="48">
        <v>769.05</v>
      </c>
      <c r="X178" s="48"/>
      <c r="Y178" s="48">
        <v>0</v>
      </c>
      <c r="Z178" s="48"/>
      <c r="AA178" s="48">
        <v>0</v>
      </c>
      <c r="AB178" s="48"/>
      <c r="AC178" s="48">
        <v>0</v>
      </c>
      <c r="AD178" s="48"/>
      <c r="AE178" s="48">
        <f t="shared" si="11"/>
        <v>187409.55000000002</v>
      </c>
      <c r="AG178" s="55">
        <v>-50315.65</v>
      </c>
      <c r="AI178" s="55">
        <v>79490.7</v>
      </c>
      <c r="AK178" s="55">
        <v>29175.05</v>
      </c>
      <c r="AL178" s="8">
        <f>+'Gen Rev'!AI178-'Gen Exp'!AE178+'Gen Exp'!AI178-AK178</f>
        <v>0</v>
      </c>
      <c r="AM178" s="21" t="str">
        <f>'Gen Rev'!A178</f>
        <v>East Sparta</v>
      </c>
      <c r="AN178" s="67" t="str">
        <f t="shared" si="9"/>
        <v>East Sparta</v>
      </c>
      <c r="AO178" s="67" t="b">
        <f t="shared" si="10"/>
        <v>1</v>
      </c>
    </row>
    <row r="179" spans="1:41" ht="12" customHeight="1" x14ac:dyDescent="0.2">
      <c r="A179" s="1" t="s">
        <v>553</v>
      </c>
      <c r="C179" s="1" t="s">
        <v>554</v>
      </c>
      <c r="E179" s="48">
        <v>496358</v>
      </c>
      <c r="F179" s="48"/>
      <c r="G179" s="48">
        <v>2877</v>
      </c>
      <c r="H179" s="48"/>
      <c r="I179" s="48">
        <v>26767</v>
      </c>
      <c r="J179" s="48"/>
      <c r="K179" s="48">
        <v>6619</v>
      </c>
      <c r="L179" s="48"/>
      <c r="M179" s="48">
        <v>0</v>
      </c>
      <c r="N179" s="48"/>
      <c r="O179" s="48">
        <v>48975</v>
      </c>
      <c r="P179" s="48"/>
      <c r="Q179" s="48">
        <v>189000</v>
      </c>
      <c r="R179" s="48"/>
      <c r="S179" s="48">
        <v>159</v>
      </c>
      <c r="T179" s="48"/>
      <c r="U179" s="48">
        <v>0</v>
      </c>
      <c r="V179" s="48"/>
      <c r="W179" s="48">
        <v>0</v>
      </c>
      <c r="X179" s="48"/>
      <c r="Y179" s="48">
        <v>39271</v>
      </c>
      <c r="Z179" s="48"/>
      <c r="AA179" s="48">
        <v>0</v>
      </c>
      <c r="AB179" s="48"/>
      <c r="AC179" s="48">
        <v>85</v>
      </c>
      <c r="AD179" s="48"/>
      <c r="AE179" s="48">
        <f t="shared" si="11"/>
        <v>810111</v>
      </c>
      <c r="AF179" s="48"/>
      <c r="AG179" s="59"/>
      <c r="AH179" s="59"/>
      <c r="AI179" s="59"/>
      <c r="AJ179" s="59"/>
      <c r="AK179" s="59"/>
      <c r="AL179" s="8">
        <f>+'Gen Rev'!AI179-'Gen Exp'!AE179+'Gen Exp'!AI179-AK179</f>
        <v>-70871</v>
      </c>
      <c r="AM179" s="21" t="str">
        <f>'Gen Rev'!A179</f>
        <v>Edgerton</v>
      </c>
      <c r="AN179" s="67" t="str">
        <f t="shared" si="9"/>
        <v>Edgerton</v>
      </c>
      <c r="AO179" s="67" t="b">
        <f t="shared" si="10"/>
        <v>1</v>
      </c>
    </row>
    <row r="180" spans="1:41" s="67" customFormat="1" ht="12" customHeight="1" x14ac:dyDescent="0.2">
      <c r="A180" s="1" t="s">
        <v>158</v>
      </c>
      <c r="B180" s="1"/>
      <c r="C180" s="1" t="s">
        <v>226</v>
      </c>
      <c r="D180" s="1"/>
      <c r="E180" s="48">
        <v>16066.68</v>
      </c>
      <c r="F180" s="48"/>
      <c r="G180" s="48">
        <v>0</v>
      </c>
      <c r="H180" s="48"/>
      <c r="I180" s="48">
        <v>0</v>
      </c>
      <c r="J180" s="48"/>
      <c r="K180" s="48">
        <v>0</v>
      </c>
      <c r="L180" s="48"/>
      <c r="M180" s="48">
        <v>0</v>
      </c>
      <c r="N180" s="48"/>
      <c r="O180" s="48">
        <v>0</v>
      </c>
      <c r="P180" s="48"/>
      <c r="Q180" s="48">
        <v>58929.16</v>
      </c>
      <c r="R180" s="48"/>
      <c r="S180" s="48">
        <v>0</v>
      </c>
      <c r="T180" s="48"/>
      <c r="U180" s="48">
        <v>7120</v>
      </c>
      <c r="V180" s="48"/>
      <c r="W180" s="48">
        <v>739.26</v>
      </c>
      <c r="X180" s="48"/>
      <c r="Y180" s="48">
        <v>0</v>
      </c>
      <c r="Z180" s="48"/>
      <c r="AA180" s="48">
        <v>0</v>
      </c>
      <c r="AB180" s="48"/>
      <c r="AC180" s="48">
        <v>13.6</v>
      </c>
      <c r="AD180" s="48"/>
      <c r="AE180" s="48">
        <f t="shared" si="11"/>
        <v>82868.7</v>
      </c>
      <c r="AF180" s="1"/>
      <c r="AG180" s="55">
        <v>-2874.64</v>
      </c>
      <c r="AH180" s="55"/>
      <c r="AI180" s="55">
        <v>10184.280000000001</v>
      </c>
      <c r="AJ180" s="55"/>
      <c r="AK180" s="55">
        <v>7309.64</v>
      </c>
      <c r="AL180" s="8">
        <f>+'Gen Rev'!AI180-'Gen Exp'!AE180+'Gen Exp'!AI180-AK180</f>
        <v>-1.3642420526593924E-11</v>
      </c>
      <c r="AM180" s="21" t="str">
        <f>'Gen Rev'!A180</f>
        <v>Edison</v>
      </c>
      <c r="AN180" s="67" t="str">
        <f t="shared" si="9"/>
        <v>Edison</v>
      </c>
      <c r="AO180" s="67" t="b">
        <f t="shared" si="10"/>
        <v>1</v>
      </c>
    </row>
    <row r="181" spans="1:41" s="67" customFormat="1" ht="12" customHeight="1" x14ac:dyDescent="0.2">
      <c r="A181" s="1" t="s">
        <v>235</v>
      </c>
      <c r="B181" s="1"/>
      <c r="C181" s="1" t="s">
        <v>554</v>
      </c>
      <c r="D181" s="1"/>
      <c r="E181" s="48">
        <v>207456.99</v>
      </c>
      <c r="F181" s="48"/>
      <c r="G181" s="48">
        <v>1384</v>
      </c>
      <c r="H181" s="48"/>
      <c r="I181" s="48">
        <v>22290.89</v>
      </c>
      <c r="J181" s="48"/>
      <c r="K181" s="48">
        <v>15427.48</v>
      </c>
      <c r="L181" s="48"/>
      <c r="M181" s="48">
        <v>0</v>
      </c>
      <c r="N181" s="48"/>
      <c r="O181" s="48">
        <v>30009.03</v>
      </c>
      <c r="P181" s="48"/>
      <c r="Q181" s="48">
        <v>104175.67999999999</v>
      </c>
      <c r="R181" s="48"/>
      <c r="S181" s="48">
        <v>0</v>
      </c>
      <c r="T181" s="48"/>
      <c r="U181" s="48">
        <v>0</v>
      </c>
      <c r="V181" s="48"/>
      <c r="W181" s="48">
        <v>0</v>
      </c>
      <c r="X181" s="48"/>
      <c r="Y181" s="48">
        <v>0</v>
      </c>
      <c r="Z181" s="48"/>
      <c r="AA181" s="48">
        <v>0</v>
      </c>
      <c r="AB181" s="48"/>
      <c r="AC181" s="48">
        <v>6230.63</v>
      </c>
      <c r="AD181" s="48"/>
      <c r="AE181" s="48">
        <f t="shared" si="11"/>
        <v>386974.7</v>
      </c>
      <c r="AF181" s="1"/>
      <c r="AG181" s="55">
        <v>2596.1799999999998</v>
      </c>
      <c r="AH181" s="55"/>
      <c r="AI181" s="55">
        <v>77106.259999999995</v>
      </c>
      <c r="AJ181" s="55"/>
      <c r="AK181" s="55">
        <v>79702.44</v>
      </c>
      <c r="AL181" s="8">
        <f>+'Gen Rev'!AI181-'Gen Exp'!AE181+'Gen Exp'!AI181-AK181</f>
        <v>0</v>
      </c>
      <c r="AM181" s="21" t="str">
        <f>'Gen Rev'!A181</f>
        <v>Edon</v>
      </c>
      <c r="AN181" s="67" t="str">
        <f t="shared" si="9"/>
        <v>Edon</v>
      </c>
      <c r="AO181" s="67" t="b">
        <f t="shared" si="10"/>
        <v>1</v>
      </c>
    </row>
    <row r="182" spans="1:41" ht="12" customHeight="1" x14ac:dyDescent="0.2">
      <c r="A182" s="1" t="s">
        <v>185</v>
      </c>
      <c r="C182" s="1" t="s">
        <v>472</v>
      </c>
      <c r="E182" s="48">
        <v>326.42</v>
      </c>
      <c r="F182" s="48"/>
      <c r="G182" s="48">
        <v>690.48</v>
      </c>
      <c r="H182" s="48"/>
      <c r="I182" s="48">
        <v>3661.33</v>
      </c>
      <c r="J182" s="48"/>
      <c r="K182" s="48">
        <v>213.44</v>
      </c>
      <c r="L182" s="48"/>
      <c r="M182" s="48">
        <v>36251.68</v>
      </c>
      <c r="N182" s="48"/>
      <c r="O182" s="48">
        <v>0</v>
      </c>
      <c r="P182" s="48"/>
      <c r="Q182" s="48">
        <v>70266.27</v>
      </c>
      <c r="R182" s="48"/>
      <c r="S182" s="48">
        <v>3882.5</v>
      </c>
      <c r="T182" s="48"/>
      <c r="U182" s="48">
        <v>0</v>
      </c>
      <c r="V182" s="48"/>
      <c r="W182" s="48">
        <v>0</v>
      </c>
      <c r="X182" s="48"/>
      <c r="Y182" s="48">
        <v>0</v>
      </c>
      <c r="Z182" s="48"/>
      <c r="AA182" s="48">
        <v>0</v>
      </c>
      <c r="AB182" s="48"/>
      <c r="AC182" s="48">
        <v>0</v>
      </c>
      <c r="AD182" s="48"/>
      <c r="AE182" s="48">
        <f t="shared" si="11"/>
        <v>115292.12</v>
      </c>
      <c r="AG182" s="55">
        <v>-4208.1000000000004</v>
      </c>
      <c r="AI182" s="55">
        <v>131412.13</v>
      </c>
      <c r="AK182" s="55">
        <v>127204.03</v>
      </c>
      <c r="AL182" s="8">
        <f>+'Gen Rev'!AI182-'Gen Exp'!AE182+'Gen Exp'!AI182-AK182</f>
        <v>0</v>
      </c>
      <c r="AM182" s="21" t="str">
        <f>'Gen Rev'!A182</f>
        <v>Eldorado</v>
      </c>
      <c r="AN182" s="67" t="str">
        <f t="shared" si="9"/>
        <v>Eldorado</v>
      </c>
      <c r="AO182" s="67" t="b">
        <f t="shared" si="10"/>
        <v>1</v>
      </c>
    </row>
    <row r="183" spans="1:41" ht="12" customHeight="1" x14ac:dyDescent="0.2">
      <c r="A183" s="1" t="s">
        <v>3</v>
      </c>
      <c r="C183" s="1" t="s">
        <v>651</v>
      </c>
      <c r="D183" s="67"/>
      <c r="E183" s="48">
        <v>173822.64</v>
      </c>
      <c r="F183" s="48"/>
      <c r="G183" s="48">
        <v>7548.45</v>
      </c>
      <c r="H183" s="48"/>
      <c r="I183" s="48">
        <v>0</v>
      </c>
      <c r="J183" s="48"/>
      <c r="K183" s="48">
        <v>2842.98</v>
      </c>
      <c r="L183" s="48"/>
      <c r="M183" s="48">
        <v>13369</v>
      </c>
      <c r="N183" s="48"/>
      <c r="O183" s="48">
        <v>6702.93</v>
      </c>
      <c r="P183" s="48"/>
      <c r="Q183" s="48">
        <v>120264.73</v>
      </c>
      <c r="R183" s="48"/>
      <c r="S183" s="48">
        <v>3598.17</v>
      </c>
      <c r="T183" s="48"/>
      <c r="U183" s="48">
        <v>0</v>
      </c>
      <c r="V183" s="48"/>
      <c r="W183" s="48">
        <v>0</v>
      </c>
      <c r="X183" s="48"/>
      <c r="Y183" s="48">
        <v>99511.64</v>
      </c>
      <c r="Z183" s="48"/>
      <c r="AA183" s="48">
        <v>0</v>
      </c>
      <c r="AB183" s="48"/>
      <c r="AC183" s="48">
        <v>13333.34</v>
      </c>
      <c r="AD183" s="48"/>
      <c r="AE183" s="48">
        <f t="shared" si="11"/>
        <v>440993.88000000006</v>
      </c>
      <c r="AG183" s="55">
        <v>-4939.47</v>
      </c>
      <c r="AI183" s="55">
        <v>8493.92</v>
      </c>
      <c r="AK183" s="55">
        <v>3554.45</v>
      </c>
      <c r="AL183" s="8">
        <f>+'Gen Rev'!AI183-'Gen Exp'!AE183+'Gen Exp'!AI183-AK183</f>
        <v>-3.0013325158506632E-11</v>
      </c>
      <c r="AM183" s="21" t="str">
        <f>'Gen Rev'!A183</f>
        <v>Elida</v>
      </c>
      <c r="AN183" s="67" t="str">
        <f t="shared" si="9"/>
        <v>Elida</v>
      </c>
      <c r="AO183" s="67" t="b">
        <f t="shared" si="10"/>
        <v>1</v>
      </c>
    </row>
    <row r="184" spans="1:41" ht="12" customHeight="1" x14ac:dyDescent="0.2">
      <c r="A184" s="1" t="s">
        <v>166</v>
      </c>
      <c r="C184" s="1" t="s">
        <v>192</v>
      </c>
      <c r="E184" s="48">
        <v>363163.93</v>
      </c>
      <c r="F184" s="48"/>
      <c r="G184" s="48">
        <v>3757.68</v>
      </c>
      <c r="H184" s="48"/>
      <c r="I184" s="48">
        <v>16549.310000000001</v>
      </c>
      <c r="J184" s="48"/>
      <c r="K184" s="48">
        <v>8173.86</v>
      </c>
      <c r="L184" s="48"/>
      <c r="M184" s="48">
        <v>0</v>
      </c>
      <c r="N184" s="48"/>
      <c r="O184" s="48">
        <v>0</v>
      </c>
      <c r="P184" s="48"/>
      <c r="Q184" s="48">
        <v>201088.48</v>
      </c>
      <c r="R184" s="48"/>
      <c r="S184" s="48">
        <v>0</v>
      </c>
      <c r="T184" s="48"/>
      <c r="U184" s="48">
        <v>0</v>
      </c>
      <c r="V184" s="48"/>
      <c r="W184" s="48">
        <v>0</v>
      </c>
      <c r="X184" s="48"/>
      <c r="Y184" s="48">
        <v>51186.89</v>
      </c>
      <c r="Z184" s="48"/>
      <c r="AA184" s="48">
        <v>0</v>
      </c>
      <c r="AB184" s="48"/>
      <c r="AC184" s="48">
        <v>0</v>
      </c>
      <c r="AD184" s="48"/>
      <c r="AE184" s="48">
        <f t="shared" si="11"/>
        <v>643920.15</v>
      </c>
      <c r="AG184" s="55">
        <v>-86231.76</v>
      </c>
      <c r="AI184" s="55">
        <v>656611.80000000005</v>
      </c>
      <c r="AK184" s="55">
        <v>570380.04</v>
      </c>
      <c r="AL184" s="8">
        <f>+'Gen Rev'!AI184-'Gen Exp'!AE184+'Gen Exp'!AI184-AK184</f>
        <v>0</v>
      </c>
      <c r="AM184" s="21" t="str">
        <f>'Gen Rev'!A184</f>
        <v>Elmore</v>
      </c>
      <c r="AN184" s="67" t="str">
        <f t="shared" si="9"/>
        <v>Elmore</v>
      </c>
      <c r="AO184" s="67" t="b">
        <f t="shared" si="10"/>
        <v>1</v>
      </c>
    </row>
    <row r="185" spans="1:41" s="67" customFormat="1" ht="12" customHeight="1" x14ac:dyDescent="0.2">
      <c r="A185" s="1" t="s">
        <v>87</v>
      </c>
      <c r="B185" s="1"/>
      <c r="C185" s="1" t="s">
        <v>351</v>
      </c>
      <c r="D185" s="1"/>
      <c r="E185" s="48">
        <v>465539.04</v>
      </c>
      <c r="F185" s="48"/>
      <c r="G185" s="48">
        <v>0</v>
      </c>
      <c r="H185" s="48"/>
      <c r="I185" s="48">
        <v>14870.8</v>
      </c>
      <c r="J185" s="48"/>
      <c r="K185" s="48">
        <v>0</v>
      </c>
      <c r="L185" s="48"/>
      <c r="M185" s="48">
        <v>114264.58</v>
      </c>
      <c r="N185" s="48"/>
      <c r="O185" s="48">
        <v>9433.68</v>
      </c>
      <c r="P185" s="48"/>
      <c r="Q185" s="48">
        <v>541870.62</v>
      </c>
      <c r="R185" s="48"/>
      <c r="S185" s="48">
        <v>0</v>
      </c>
      <c r="T185" s="48"/>
      <c r="U185" s="48">
        <v>47620.28</v>
      </c>
      <c r="V185" s="48"/>
      <c r="W185" s="48">
        <v>9159.19</v>
      </c>
      <c r="X185" s="48"/>
      <c r="Y185" s="48">
        <v>0</v>
      </c>
      <c r="Z185" s="48"/>
      <c r="AA185" s="48">
        <v>0</v>
      </c>
      <c r="AB185" s="48"/>
      <c r="AC185" s="48">
        <v>13239.39</v>
      </c>
      <c r="AD185" s="48"/>
      <c r="AE185" s="48">
        <f t="shared" si="11"/>
        <v>1215997.5799999998</v>
      </c>
      <c r="AF185" s="1"/>
      <c r="AG185" s="55">
        <v>73168.14</v>
      </c>
      <c r="AH185" s="55"/>
      <c r="AI185" s="55">
        <v>848091.68</v>
      </c>
      <c r="AJ185" s="55"/>
      <c r="AK185" s="55">
        <v>921259.82</v>
      </c>
      <c r="AL185" s="8">
        <f>+'Gen Rev'!AI185-'Gen Exp'!AE185+'Gen Exp'!AI185-AK185</f>
        <v>0</v>
      </c>
      <c r="AM185" s="21" t="str">
        <f>'Gen Rev'!A185</f>
        <v>Elmwood Place</v>
      </c>
      <c r="AN185" s="67" t="str">
        <f t="shared" si="9"/>
        <v>Elmwood Place</v>
      </c>
      <c r="AO185" s="67" t="b">
        <f t="shared" si="10"/>
        <v>1</v>
      </c>
    </row>
    <row r="186" spans="1:41" ht="12" customHeight="1" x14ac:dyDescent="0.2">
      <c r="A186" s="1" t="s">
        <v>273</v>
      </c>
      <c r="C186" s="1" t="s">
        <v>274</v>
      </c>
      <c r="E186" s="48">
        <v>92150</v>
      </c>
      <c r="F186" s="48"/>
      <c r="G186" s="48">
        <v>0</v>
      </c>
      <c r="H186" s="48"/>
      <c r="I186" s="48">
        <v>4871</v>
      </c>
      <c r="J186" s="48"/>
      <c r="K186" s="48">
        <v>0</v>
      </c>
      <c r="L186" s="48"/>
      <c r="M186" s="48">
        <v>0</v>
      </c>
      <c r="N186" s="48"/>
      <c r="O186" s="48">
        <v>0</v>
      </c>
      <c r="P186" s="48"/>
      <c r="Q186" s="48">
        <f>61684+63935+52900+37049+138842</f>
        <v>354410</v>
      </c>
      <c r="R186" s="48"/>
      <c r="S186" s="48">
        <v>21138</v>
      </c>
      <c r="T186" s="48"/>
      <c r="U186" s="48">
        <v>0</v>
      </c>
      <c r="V186" s="48"/>
      <c r="W186" s="48">
        <v>0</v>
      </c>
      <c r="X186" s="48"/>
      <c r="Y186" s="48">
        <v>0</v>
      </c>
      <c r="Z186" s="48"/>
      <c r="AA186" s="48">
        <v>0</v>
      </c>
      <c r="AB186" s="48"/>
      <c r="AC186" s="48">
        <v>0</v>
      </c>
      <c r="AD186" s="48"/>
      <c r="AE186" s="48">
        <f t="shared" si="11"/>
        <v>472569</v>
      </c>
      <c r="AF186" s="48"/>
      <c r="AG186" s="59"/>
      <c r="AH186" s="59"/>
      <c r="AI186" s="59"/>
      <c r="AJ186" s="59"/>
      <c r="AK186" s="59"/>
      <c r="AL186" s="8">
        <f>+'Gen Rev'!AI186-'Gen Exp'!AE186+'Gen Exp'!AI186-AK186</f>
        <v>-1814</v>
      </c>
      <c r="AM186" s="21" t="str">
        <f>'Gen Rev'!A186</f>
        <v>Enon</v>
      </c>
      <c r="AN186" s="67" t="str">
        <f t="shared" si="9"/>
        <v>Enon</v>
      </c>
      <c r="AO186" s="67" t="b">
        <f t="shared" si="10"/>
        <v>1</v>
      </c>
    </row>
    <row r="187" spans="1:41" ht="12" customHeight="1" x14ac:dyDescent="0.2">
      <c r="A187" s="1" t="s">
        <v>353</v>
      </c>
      <c r="C187" s="1" t="s">
        <v>351</v>
      </c>
      <c r="E187" s="48">
        <v>5630267</v>
      </c>
      <c r="F187" s="48"/>
      <c r="G187" s="48">
        <v>12246</v>
      </c>
      <c r="H187" s="48"/>
      <c r="I187" s="48">
        <v>1345605</v>
      </c>
      <c r="J187" s="48"/>
      <c r="K187" s="48">
        <v>273088</v>
      </c>
      <c r="L187" s="48"/>
      <c r="M187" s="48">
        <v>253039</v>
      </c>
      <c r="N187" s="48"/>
      <c r="O187" s="48">
        <v>0</v>
      </c>
      <c r="P187" s="48"/>
      <c r="Q187" s="48">
        <v>2204107</v>
      </c>
      <c r="R187" s="48"/>
      <c r="S187" s="48">
        <v>744192</v>
      </c>
      <c r="T187" s="48"/>
      <c r="U187" s="48">
        <v>0</v>
      </c>
      <c r="V187" s="48"/>
      <c r="W187" s="48">
        <v>0</v>
      </c>
      <c r="X187" s="48"/>
      <c r="Y187" s="48">
        <v>2296500</v>
      </c>
      <c r="Z187" s="48"/>
      <c r="AA187" s="48">
        <v>0</v>
      </c>
      <c r="AB187" s="48"/>
      <c r="AC187" s="48">
        <v>0</v>
      </c>
      <c r="AD187" s="48"/>
      <c r="AE187" s="48">
        <f t="shared" si="11"/>
        <v>12759044</v>
      </c>
      <c r="AF187" s="48"/>
      <c r="AG187" s="59"/>
      <c r="AH187" s="59"/>
      <c r="AI187" s="59"/>
      <c r="AJ187" s="59"/>
      <c r="AK187" s="59"/>
      <c r="AL187" s="8">
        <f>+'Gen Rev'!AI187-'Gen Exp'!AE187+'Gen Exp'!AI187-AK187</f>
        <v>1324896</v>
      </c>
      <c r="AM187" s="21" t="str">
        <f>'Gen Rev'!A187</f>
        <v>Evendale</v>
      </c>
      <c r="AN187" s="67" t="str">
        <f t="shared" si="9"/>
        <v>Evendale</v>
      </c>
      <c r="AO187" s="67" t="b">
        <f t="shared" si="10"/>
        <v>1</v>
      </c>
    </row>
    <row r="188" spans="1:41" s="70" customFormat="1" ht="12" customHeight="1" x14ac:dyDescent="0.2">
      <c r="A188" s="1" t="s">
        <v>88</v>
      </c>
      <c r="B188" s="1"/>
      <c r="C188" s="1" t="s">
        <v>351</v>
      </c>
      <c r="D188" s="1"/>
      <c r="E188" s="48">
        <v>1170997.48</v>
      </c>
      <c r="F188" s="48"/>
      <c r="G188" s="48">
        <v>3431.77</v>
      </c>
      <c r="H188" s="48"/>
      <c r="I188" s="48">
        <v>61986.44</v>
      </c>
      <c r="J188" s="48"/>
      <c r="K188" s="48">
        <v>55818.65</v>
      </c>
      <c r="L188" s="48"/>
      <c r="M188" s="48">
        <v>149018.19</v>
      </c>
      <c r="N188" s="48"/>
      <c r="O188" s="48">
        <v>230442.33</v>
      </c>
      <c r="P188" s="48"/>
      <c r="Q188" s="48">
        <v>1063766.31</v>
      </c>
      <c r="R188" s="48"/>
      <c r="S188" s="48">
        <v>0</v>
      </c>
      <c r="T188" s="48"/>
      <c r="U188" s="48">
        <v>0</v>
      </c>
      <c r="V188" s="48"/>
      <c r="W188" s="48">
        <v>0</v>
      </c>
      <c r="X188" s="48"/>
      <c r="Y188" s="48">
        <v>185466.56</v>
      </c>
      <c r="Z188" s="48"/>
      <c r="AA188" s="48">
        <v>703976.19</v>
      </c>
      <c r="AB188" s="48"/>
      <c r="AC188" s="48">
        <v>1920.98</v>
      </c>
      <c r="AD188" s="48"/>
      <c r="AE188" s="48">
        <f t="shared" si="11"/>
        <v>3626824.9</v>
      </c>
      <c r="AF188" s="1"/>
      <c r="AG188" s="55">
        <v>178450.86</v>
      </c>
      <c r="AH188" s="55"/>
      <c r="AI188" s="55">
        <v>1428915.8</v>
      </c>
      <c r="AJ188" s="55"/>
      <c r="AK188" s="55">
        <v>1607366.66</v>
      </c>
      <c r="AL188" s="8">
        <f>+'Gen Rev'!AI188-'Gen Exp'!AE188+'Gen Exp'!AI188-AK188</f>
        <v>0</v>
      </c>
      <c r="AM188" s="21" t="str">
        <f>'Gen Rev'!A188</f>
        <v>Fairfax</v>
      </c>
      <c r="AN188" s="67" t="str">
        <f t="shared" si="9"/>
        <v>Fairfax</v>
      </c>
      <c r="AO188" s="67" t="b">
        <f t="shared" si="10"/>
        <v>1</v>
      </c>
    </row>
    <row r="189" spans="1:41" ht="12" customHeight="1" x14ac:dyDescent="0.2">
      <c r="A189" s="1" t="s">
        <v>398</v>
      </c>
      <c r="C189" s="1" t="s">
        <v>399</v>
      </c>
      <c r="E189" s="48">
        <v>1039045.13</v>
      </c>
      <c r="F189" s="48"/>
      <c r="G189" s="48">
        <v>19429</v>
      </c>
      <c r="H189" s="48"/>
      <c r="I189" s="48">
        <v>56</v>
      </c>
      <c r="J189" s="48"/>
      <c r="K189" s="48">
        <v>32576.75</v>
      </c>
      <c r="L189" s="48"/>
      <c r="M189" s="48">
        <v>0</v>
      </c>
      <c r="N189" s="48"/>
      <c r="O189" s="48">
        <v>32706.83</v>
      </c>
      <c r="P189" s="48"/>
      <c r="Q189" s="48">
        <v>500921.63</v>
      </c>
      <c r="R189" s="48"/>
      <c r="S189" s="48">
        <v>0</v>
      </c>
      <c r="T189" s="48"/>
      <c r="U189" s="48">
        <v>0</v>
      </c>
      <c r="V189" s="48"/>
      <c r="W189" s="48">
        <v>0</v>
      </c>
      <c r="X189" s="48"/>
      <c r="Y189" s="48">
        <v>69337.56</v>
      </c>
      <c r="Z189" s="48"/>
      <c r="AA189" s="48">
        <v>104599.25</v>
      </c>
      <c r="AB189" s="48"/>
      <c r="AC189" s="48">
        <v>0</v>
      </c>
      <c r="AD189" s="48"/>
      <c r="AE189" s="48">
        <f t="shared" si="11"/>
        <v>1798672.15</v>
      </c>
      <c r="AG189" s="55">
        <v>-36699.440000000002</v>
      </c>
      <c r="AI189" s="55">
        <v>1091909.8799999999</v>
      </c>
      <c r="AK189" s="55">
        <v>1055210.44</v>
      </c>
      <c r="AL189" s="8">
        <f>+'Gen Rev'!AI189-'Gen Exp'!AE189+'Gen Exp'!AI189-AK189</f>
        <v>0</v>
      </c>
      <c r="AM189" s="21" t="str">
        <f>'Gen Rev'!A189</f>
        <v>Fairport Harbor</v>
      </c>
      <c r="AN189" s="67" t="str">
        <f t="shared" si="9"/>
        <v>Fairport Harbor</v>
      </c>
      <c r="AO189" s="67" t="b">
        <f t="shared" si="10"/>
        <v>1</v>
      </c>
    </row>
    <row r="190" spans="1:41" s="67" customFormat="1" ht="12" customHeight="1" x14ac:dyDescent="0.2">
      <c r="A190" s="1" t="s">
        <v>153</v>
      </c>
      <c r="B190" s="1"/>
      <c r="C190" s="1" t="s">
        <v>446</v>
      </c>
      <c r="D190" s="1"/>
      <c r="E190" s="48">
        <v>51711</v>
      </c>
      <c r="F190" s="48"/>
      <c r="G190" s="48">
        <v>0</v>
      </c>
      <c r="H190" s="48"/>
      <c r="I190" s="48">
        <v>0</v>
      </c>
      <c r="J190" s="48"/>
      <c r="K190" s="48">
        <v>0</v>
      </c>
      <c r="L190" s="48"/>
      <c r="M190" s="48">
        <v>0</v>
      </c>
      <c r="N190" s="48"/>
      <c r="O190" s="48">
        <v>0</v>
      </c>
      <c r="P190" s="48"/>
      <c r="Q190" s="48">
        <v>146872.35999999999</v>
      </c>
      <c r="R190" s="48"/>
      <c r="S190" s="48">
        <v>43714.54</v>
      </c>
      <c r="T190" s="48"/>
      <c r="U190" s="48">
        <v>0</v>
      </c>
      <c r="V190" s="48"/>
      <c r="W190" s="48">
        <v>0</v>
      </c>
      <c r="X190" s="48"/>
      <c r="Y190" s="48">
        <v>40000</v>
      </c>
      <c r="Z190" s="48"/>
      <c r="AA190" s="48">
        <v>55592.959999999999</v>
      </c>
      <c r="AB190" s="48"/>
      <c r="AC190" s="48">
        <v>288.55</v>
      </c>
      <c r="AD190" s="48"/>
      <c r="AE190" s="48">
        <f t="shared" si="11"/>
        <v>338179.41000000003</v>
      </c>
      <c r="AF190" s="1"/>
      <c r="AG190" s="55">
        <v>15188.06</v>
      </c>
      <c r="AH190" s="55"/>
      <c r="AI190" s="55">
        <v>8064.11</v>
      </c>
      <c r="AJ190" s="55"/>
      <c r="AK190" s="55">
        <v>23252.17</v>
      </c>
      <c r="AL190" s="8">
        <f>+'Gen Rev'!AI190-'Gen Exp'!AE190+'Gen Exp'!AI190-AK190</f>
        <v>-5.8207660913467407E-11</v>
      </c>
      <c r="AM190" s="21" t="str">
        <f>'Gen Rev'!A190</f>
        <v>Farmersville</v>
      </c>
      <c r="AN190" s="67" t="str">
        <f t="shared" si="9"/>
        <v>Farmersville</v>
      </c>
      <c r="AO190" s="67" t="b">
        <f t="shared" si="10"/>
        <v>1</v>
      </c>
    </row>
    <row r="191" spans="1:41" ht="12" customHeight="1" x14ac:dyDescent="0.2">
      <c r="A191" s="1" t="s">
        <v>334</v>
      </c>
      <c r="C191" s="1" t="s">
        <v>332</v>
      </c>
      <c r="E191" s="48">
        <v>205950</v>
      </c>
      <c r="F191" s="48"/>
      <c r="G191" s="48">
        <v>0</v>
      </c>
      <c r="H191" s="48"/>
      <c r="I191" s="48">
        <v>0</v>
      </c>
      <c r="J191" s="48"/>
      <c r="K191" s="48">
        <v>1173</v>
      </c>
      <c r="L191" s="48"/>
      <c r="M191" s="48">
        <v>0</v>
      </c>
      <c r="N191" s="48"/>
      <c r="O191" s="48">
        <v>16993</v>
      </c>
      <c r="P191" s="48"/>
      <c r="Q191" s="48">
        <v>106170</v>
      </c>
      <c r="R191" s="48"/>
      <c r="S191" s="48">
        <v>3151</v>
      </c>
      <c r="T191" s="48"/>
      <c r="U191" s="48">
        <v>0</v>
      </c>
      <c r="V191" s="48"/>
      <c r="W191" s="48">
        <v>0</v>
      </c>
      <c r="X191" s="48"/>
      <c r="Y191" s="48">
        <v>9500</v>
      </c>
      <c r="Z191" s="48"/>
      <c r="AA191" s="48">
        <v>0</v>
      </c>
      <c r="AB191" s="48"/>
      <c r="AC191" s="48">
        <v>15</v>
      </c>
      <c r="AD191" s="48"/>
      <c r="AE191" s="48">
        <f t="shared" si="11"/>
        <v>342952</v>
      </c>
      <c r="AF191" s="48"/>
      <c r="AG191" s="59"/>
      <c r="AH191" s="59"/>
      <c r="AI191" s="59"/>
      <c r="AJ191" s="59"/>
      <c r="AK191" s="59"/>
      <c r="AL191" s="8">
        <f>+'Gen Rev'!AI191-'Gen Exp'!AE191+'Gen Exp'!AI191-AK191</f>
        <v>120250</v>
      </c>
      <c r="AM191" s="21" t="str">
        <f>'Gen Rev'!A191</f>
        <v>Fayette</v>
      </c>
      <c r="AN191" s="67" t="str">
        <f t="shared" si="9"/>
        <v>Fayette</v>
      </c>
      <c r="AO191" s="67" t="b">
        <f t="shared" si="10"/>
        <v>1</v>
      </c>
    </row>
    <row r="192" spans="1:41" s="67" customFormat="1" ht="12" customHeight="1" x14ac:dyDescent="0.2">
      <c r="A192" s="1" t="s">
        <v>21</v>
      </c>
      <c r="B192" s="1"/>
      <c r="C192" s="1" t="s">
        <v>265</v>
      </c>
      <c r="D192" s="1"/>
      <c r="E192" s="48">
        <v>52642.45</v>
      </c>
      <c r="F192" s="48"/>
      <c r="G192" s="48">
        <v>0</v>
      </c>
      <c r="H192" s="48"/>
      <c r="I192" s="48">
        <v>3571.77</v>
      </c>
      <c r="J192" s="48"/>
      <c r="K192" s="48">
        <v>347.77</v>
      </c>
      <c r="L192" s="48"/>
      <c r="M192" s="48">
        <v>0</v>
      </c>
      <c r="N192" s="48"/>
      <c r="O192" s="48">
        <v>1727.79</v>
      </c>
      <c r="P192" s="48"/>
      <c r="Q192" s="48">
        <v>69956.27</v>
      </c>
      <c r="R192" s="48"/>
      <c r="S192" s="48">
        <v>0</v>
      </c>
      <c r="T192" s="48"/>
      <c r="U192" s="48">
        <v>2000</v>
      </c>
      <c r="V192" s="48"/>
      <c r="W192" s="48">
        <v>476.35</v>
      </c>
      <c r="X192" s="48"/>
      <c r="Y192" s="48">
        <v>0</v>
      </c>
      <c r="Z192" s="48"/>
      <c r="AA192" s="48">
        <v>0</v>
      </c>
      <c r="AB192" s="48"/>
      <c r="AC192" s="48">
        <v>7680</v>
      </c>
      <c r="AD192" s="48"/>
      <c r="AE192" s="48">
        <f t="shared" si="11"/>
        <v>138402.4</v>
      </c>
      <c r="AF192" s="1"/>
      <c r="AG192" s="55">
        <v>-6681.59</v>
      </c>
      <c r="AH192" s="55"/>
      <c r="AI192" s="55">
        <v>29082.57</v>
      </c>
      <c r="AJ192" s="55"/>
      <c r="AK192" s="55">
        <v>22400.98</v>
      </c>
      <c r="AL192" s="8">
        <f>+'Gen Rev'!AI192-'Gen Exp'!AE192+'Gen Exp'!AI192-AK192</f>
        <v>0</v>
      </c>
      <c r="AM192" s="21" t="str">
        <f>'Gen Rev'!A192</f>
        <v>Fayetteville</v>
      </c>
      <c r="AN192" s="67" t="str">
        <f t="shared" si="9"/>
        <v>Fayetteville</v>
      </c>
      <c r="AO192" s="67" t="b">
        <f t="shared" si="10"/>
        <v>1</v>
      </c>
    </row>
    <row r="193" spans="1:41" ht="12" customHeight="1" x14ac:dyDescent="0.2">
      <c r="A193" s="1" t="s">
        <v>798</v>
      </c>
      <c r="C193" s="1" t="s">
        <v>437</v>
      </c>
      <c r="E193" s="48">
        <v>0</v>
      </c>
      <c r="F193" s="48"/>
      <c r="G193" s="48">
        <v>0</v>
      </c>
      <c r="H193" s="48"/>
      <c r="I193" s="48">
        <v>820.6</v>
      </c>
      <c r="J193" s="48"/>
      <c r="K193" s="48">
        <v>0</v>
      </c>
      <c r="L193" s="48"/>
      <c r="M193" s="48">
        <v>0</v>
      </c>
      <c r="N193" s="48"/>
      <c r="O193" s="48">
        <v>0</v>
      </c>
      <c r="P193" s="48"/>
      <c r="Q193" s="48">
        <v>17576.87</v>
      </c>
      <c r="R193" s="48"/>
      <c r="S193" s="48">
        <v>0</v>
      </c>
      <c r="T193" s="48"/>
      <c r="U193" s="48">
        <v>0</v>
      </c>
      <c r="V193" s="48"/>
      <c r="W193" s="48">
        <v>0</v>
      </c>
      <c r="X193" s="48"/>
      <c r="Y193" s="48">
        <v>0</v>
      </c>
      <c r="Z193" s="48"/>
      <c r="AA193" s="48">
        <v>0</v>
      </c>
      <c r="AB193" s="48"/>
      <c r="AC193" s="48">
        <v>6700.41</v>
      </c>
      <c r="AD193" s="48"/>
      <c r="AE193" s="48">
        <f t="shared" si="11"/>
        <v>25097.879999999997</v>
      </c>
      <c r="AG193" s="55">
        <v>2285.08</v>
      </c>
      <c r="AI193" s="55">
        <v>16788.21</v>
      </c>
      <c r="AK193" s="55">
        <v>19073.29</v>
      </c>
      <c r="AL193" s="8">
        <f>+'Gen Rev'!AI193-'Gen Exp'!AE193+'Gen Exp'!AI193-AK193</f>
        <v>0</v>
      </c>
      <c r="AM193" s="21" t="str">
        <f>'Gen Rev'!A193</f>
        <v>Fletcher</v>
      </c>
      <c r="AN193" s="67" t="str">
        <f t="shared" si="9"/>
        <v>Fletcher</v>
      </c>
      <c r="AO193" s="67" t="b">
        <f t="shared" si="10"/>
        <v>1</v>
      </c>
    </row>
    <row r="194" spans="1:41" s="67" customFormat="1" ht="12" customHeight="1" x14ac:dyDescent="0.2">
      <c r="A194" s="1" t="s">
        <v>100</v>
      </c>
      <c r="B194" s="1"/>
      <c r="C194" s="1" t="s">
        <v>377</v>
      </c>
      <c r="D194" s="1"/>
      <c r="E194" s="48">
        <v>3780</v>
      </c>
      <c r="F194" s="48"/>
      <c r="G194" s="48">
        <v>665.08</v>
      </c>
      <c r="H194" s="48"/>
      <c r="I194" s="48">
        <v>1756.94</v>
      </c>
      <c r="J194" s="48"/>
      <c r="K194" s="48">
        <v>0</v>
      </c>
      <c r="L194" s="48"/>
      <c r="M194" s="48">
        <v>494.97</v>
      </c>
      <c r="N194" s="48"/>
      <c r="O194" s="48">
        <v>0</v>
      </c>
      <c r="P194" s="48"/>
      <c r="Q194" s="48">
        <v>19354.400000000001</v>
      </c>
      <c r="R194" s="48"/>
      <c r="S194" s="48">
        <v>0</v>
      </c>
      <c r="T194" s="48"/>
      <c r="U194" s="48">
        <v>0</v>
      </c>
      <c r="V194" s="48"/>
      <c r="W194" s="48">
        <v>0</v>
      </c>
      <c r="X194" s="48"/>
      <c r="Y194" s="48">
        <v>0</v>
      </c>
      <c r="Z194" s="48"/>
      <c r="AA194" s="48">
        <v>0</v>
      </c>
      <c r="AB194" s="48"/>
      <c r="AC194" s="48">
        <v>0</v>
      </c>
      <c r="AD194" s="48"/>
      <c r="AE194" s="48">
        <f t="shared" si="11"/>
        <v>26051.390000000003</v>
      </c>
      <c r="AF194" s="1"/>
      <c r="AG194" s="55">
        <v>15538.5</v>
      </c>
      <c r="AH194" s="55"/>
      <c r="AI194" s="55">
        <v>-421.99</v>
      </c>
      <c r="AJ194" s="55"/>
      <c r="AK194" s="55">
        <v>15116.51</v>
      </c>
      <c r="AL194" s="8">
        <f>+'Gen Rev'!AI194-'Gen Exp'!AE194+'Gen Exp'!AI194-AK194</f>
        <v>0</v>
      </c>
      <c r="AM194" s="21" t="str">
        <f>'Gen Rev'!A194</f>
        <v>Florida</v>
      </c>
      <c r="AN194" s="67" t="str">
        <f t="shared" si="9"/>
        <v>Florida</v>
      </c>
      <c r="AO194" s="67" t="b">
        <f t="shared" si="10"/>
        <v>1</v>
      </c>
    </row>
    <row r="195" spans="1:41" ht="12" customHeight="1" x14ac:dyDescent="0.2">
      <c r="A195" s="1" t="s">
        <v>799</v>
      </c>
      <c r="C195" s="1" t="s">
        <v>261</v>
      </c>
      <c r="E195" s="48">
        <v>14147.81</v>
      </c>
      <c r="F195" s="48"/>
      <c r="G195" s="48">
        <v>4555.42</v>
      </c>
      <c r="H195" s="48"/>
      <c r="I195" s="48">
        <v>9949.84</v>
      </c>
      <c r="J195" s="48"/>
      <c r="K195" s="48">
        <v>0</v>
      </c>
      <c r="L195" s="48"/>
      <c r="M195" s="48">
        <v>7298.34</v>
      </c>
      <c r="N195" s="48"/>
      <c r="O195" s="48">
        <v>0</v>
      </c>
      <c r="P195" s="48"/>
      <c r="Q195" s="48">
        <v>60371.72</v>
      </c>
      <c r="R195" s="48"/>
      <c r="S195" s="48">
        <v>0</v>
      </c>
      <c r="T195" s="48"/>
      <c r="U195" s="48">
        <v>4291.21</v>
      </c>
      <c r="V195" s="48"/>
      <c r="W195" s="48">
        <v>43.39</v>
      </c>
      <c r="X195" s="48"/>
      <c r="Y195" s="48">
        <v>0</v>
      </c>
      <c r="Z195" s="48"/>
      <c r="AA195" s="48">
        <v>0</v>
      </c>
      <c r="AB195" s="48"/>
      <c r="AC195" s="48">
        <v>0</v>
      </c>
      <c r="AD195" s="48"/>
      <c r="AE195" s="48">
        <f t="shared" si="11"/>
        <v>100657.73000000001</v>
      </c>
      <c r="AG195" s="55">
        <v>-29640.04</v>
      </c>
      <c r="AI195" s="55">
        <v>281870.28000000003</v>
      </c>
      <c r="AK195" s="55">
        <v>252230.24</v>
      </c>
      <c r="AL195" s="8">
        <f>+'Gen Rev'!AI195-'Gen Exp'!AE195+'Gen Exp'!AI195-AK195</f>
        <v>0</v>
      </c>
      <c r="AM195" s="21" t="str">
        <f>'Gen Rev'!A195</f>
        <v>Flushing</v>
      </c>
      <c r="AN195" s="67" t="str">
        <f t="shared" si="9"/>
        <v>Flushing</v>
      </c>
      <c r="AO195" s="67" t="b">
        <f t="shared" si="10"/>
        <v>1</v>
      </c>
    </row>
    <row r="196" spans="1:41" s="67" customFormat="1" ht="12" customHeight="1" x14ac:dyDescent="0.2">
      <c r="A196" s="1" t="s">
        <v>368</v>
      </c>
      <c r="B196" s="1"/>
      <c r="C196" s="1" t="s">
        <v>366</v>
      </c>
      <c r="D196" s="1"/>
      <c r="E196" s="48">
        <v>215954</v>
      </c>
      <c r="F196" s="48"/>
      <c r="G196" s="48">
        <v>5743</v>
      </c>
      <c r="H196" s="48"/>
      <c r="I196" s="48">
        <v>0</v>
      </c>
      <c r="J196" s="48"/>
      <c r="K196" s="48">
        <v>24898</v>
      </c>
      <c r="L196" s="48"/>
      <c r="M196" s="48">
        <v>0</v>
      </c>
      <c r="N196" s="48"/>
      <c r="O196" s="48">
        <v>0</v>
      </c>
      <c r="P196" s="48"/>
      <c r="Q196" s="48">
        <v>163826</v>
      </c>
      <c r="R196" s="48"/>
      <c r="S196" s="48">
        <v>0</v>
      </c>
      <c r="T196" s="48"/>
      <c r="U196" s="48">
        <v>0</v>
      </c>
      <c r="V196" s="48"/>
      <c r="W196" s="48">
        <v>0</v>
      </c>
      <c r="X196" s="48"/>
      <c r="Y196" s="48">
        <v>93580</v>
      </c>
      <c r="Z196" s="48"/>
      <c r="AA196" s="48">
        <v>0</v>
      </c>
      <c r="AB196" s="48"/>
      <c r="AC196" s="48">
        <v>0</v>
      </c>
      <c r="AD196" s="48"/>
      <c r="AE196" s="48">
        <f t="shared" si="11"/>
        <v>504001</v>
      </c>
      <c r="AF196" s="48"/>
      <c r="AG196" s="59"/>
      <c r="AH196" s="59"/>
      <c r="AI196" s="59"/>
      <c r="AJ196" s="59"/>
      <c r="AK196" s="59"/>
      <c r="AL196" s="8">
        <f>+'Gen Rev'!AI196-'Gen Exp'!AE196+'Gen Exp'!AI196-AK196</f>
        <v>-87102</v>
      </c>
      <c r="AM196" s="21" t="str">
        <f>'Gen Rev'!A196</f>
        <v>Forest</v>
      </c>
      <c r="AN196" s="67" t="str">
        <f t="shared" si="9"/>
        <v>Forest</v>
      </c>
      <c r="AO196" s="67" t="b">
        <f t="shared" si="10"/>
        <v>1</v>
      </c>
    </row>
    <row r="197" spans="1:41" ht="12" customHeight="1" x14ac:dyDescent="0.2">
      <c r="A197" s="1" t="s">
        <v>189</v>
      </c>
      <c r="C197" s="1" t="s">
        <v>476</v>
      </c>
      <c r="E197" s="48">
        <v>49096.639999999999</v>
      </c>
      <c r="F197" s="48"/>
      <c r="G197" s="48">
        <v>0</v>
      </c>
      <c r="H197" s="48"/>
      <c r="I197" s="48">
        <v>160.22</v>
      </c>
      <c r="J197" s="48"/>
      <c r="K197" s="48">
        <v>0</v>
      </c>
      <c r="L197" s="48"/>
      <c r="M197" s="48">
        <v>1719.07</v>
      </c>
      <c r="N197" s="48"/>
      <c r="O197" s="48">
        <v>0</v>
      </c>
      <c r="P197" s="48"/>
      <c r="Q197" s="48">
        <v>112418.97</v>
      </c>
      <c r="R197" s="48"/>
      <c r="S197" s="48">
        <v>0</v>
      </c>
      <c r="T197" s="48"/>
      <c r="U197" s="48">
        <v>0</v>
      </c>
      <c r="V197" s="48"/>
      <c r="W197" s="48">
        <v>0</v>
      </c>
      <c r="X197" s="48"/>
      <c r="Y197" s="48">
        <v>0</v>
      </c>
      <c r="Z197" s="48"/>
      <c r="AA197" s="48">
        <v>0</v>
      </c>
      <c r="AB197" s="48"/>
      <c r="AC197" s="48">
        <v>0</v>
      </c>
      <c r="AD197" s="48"/>
      <c r="AE197" s="48">
        <f t="shared" ref="AE197:AE238" si="12">SUM(E197:AC197)</f>
        <v>163394.9</v>
      </c>
      <c r="AG197" s="55">
        <v>271.94</v>
      </c>
      <c r="AI197" s="55">
        <v>422280.78</v>
      </c>
      <c r="AK197" s="55">
        <v>422552.72</v>
      </c>
      <c r="AL197" s="8">
        <f>+'Gen Rev'!AI197-'Gen Exp'!AE197+'Gen Exp'!AI197-AK197</f>
        <v>0</v>
      </c>
      <c r="AM197" s="21" t="str">
        <f>'Gen Rev'!A197</f>
        <v>Fort Jennings</v>
      </c>
      <c r="AN197" s="67" t="str">
        <f t="shared" si="9"/>
        <v>Fort Jennings</v>
      </c>
      <c r="AO197" s="67" t="b">
        <f t="shared" si="10"/>
        <v>1</v>
      </c>
    </row>
    <row r="198" spans="1:41" ht="12" customHeight="1" x14ac:dyDescent="0.2">
      <c r="A198" s="1" t="s">
        <v>207</v>
      </c>
      <c r="C198" s="1" t="s">
        <v>498</v>
      </c>
      <c r="E198" s="48">
        <v>201429.73</v>
      </c>
      <c r="F198" s="48"/>
      <c r="G198" s="48">
        <v>7553</v>
      </c>
      <c r="H198" s="48"/>
      <c r="I198" s="48">
        <v>43732.42</v>
      </c>
      <c r="J198" s="48"/>
      <c r="K198" s="48">
        <v>0</v>
      </c>
      <c r="L198" s="48"/>
      <c r="M198" s="48">
        <v>68440.86</v>
      </c>
      <c r="N198" s="48"/>
      <c r="O198" s="48">
        <v>98390.09</v>
      </c>
      <c r="P198" s="48"/>
      <c r="Q198" s="48">
        <v>230183.01</v>
      </c>
      <c r="R198" s="48"/>
      <c r="S198" s="48">
        <v>283645.53999999998</v>
      </c>
      <c r="T198" s="48"/>
      <c r="U198" s="48">
        <v>29955.78</v>
      </c>
      <c r="V198" s="48"/>
      <c r="W198" s="48">
        <v>1606.63</v>
      </c>
      <c r="X198" s="48"/>
      <c r="Y198" s="48">
        <v>0</v>
      </c>
      <c r="Z198" s="48"/>
      <c r="AA198" s="48">
        <v>0</v>
      </c>
      <c r="AB198" s="48"/>
      <c r="AC198" s="48">
        <v>175.37</v>
      </c>
      <c r="AD198" s="48"/>
      <c r="AE198" s="48">
        <f t="shared" si="12"/>
        <v>965112.42999999993</v>
      </c>
      <c r="AG198" s="55">
        <v>611067.03</v>
      </c>
      <c r="AI198" s="55">
        <v>969873.31</v>
      </c>
      <c r="AK198" s="55">
        <v>1580940.34</v>
      </c>
      <c r="AL198" s="8">
        <f>+'Gen Rev'!AI198-'Gen Exp'!AE198+'Gen Exp'!AI198-AK198</f>
        <v>0</v>
      </c>
      <c r="AM198" s="21" t="str">
        <f>'Gen Rev'!A198</f>
        <v>Fort Loramie</v>
      </c>
      <c r="AN198" s="67" t="str">
        <f t="shared" si="9"/>
        <v>Fort Loramie</v>
      </c>
      <c r="AO198" s="67" t="b">
        <f t="shared" si="10"/>
        <v>1</v>
      </c>
    </row>
    <row r="199" spans="1:41" ht="12" customHeight="1" x14ac:dyDescent="0.2">
      <c r="A199" s="1" t="s">
        <v>434</v>
      </c>
      <c r="C199" s="1" t="s">
        <v>433</v>
      </c>
      <c r="E199" s="48">
        <v>134239</v>
      </c>
      <c r="F199" s="48"/>
      <c r="G199" s="48">
        <v>32626</v>
      </c>
      <c r="H199" s="48"/>
      <c r="I199" s="48">
        <v>101006</v>
      </c>
      <c r="J199" s="48"/>
      <c r="K199" s="48">
        <v>2122</v>
      </c>
      <c r="L199" s="48"/>
      <c r="M199" s="48">
        <v>75</v>
      </c>
      <c r="N199" s="48"/>
      <c r="O199" s="48">
        <v>0</v>
      </c>
      <c r="P199" s="48"/>
      <c r="Q199" s="48">
        <v>331913</v>
      </c>
      <c r="R199" s="48"/>
      <c r="S199" s="48">
        <v>44315</v>
      </c>
      <c r="T199" s="48"/>
      <c r="U199" s="48">
        <v>0</v>
      </c>
      <c r="V199" s="48"/>
      <c r="W199" s="48">
        <v>0</v>
      </c>
      <c r="X199" s="48"/>
      <c r="Y199" s="48">
        <v>1110363</v>
      </c>
      <c r="Z199" s="48"/>
      <c r="AA199" s="48">
        <v>0</v>
      </c>
      <c r="AB199" s="48"/>
      <c r="AC199" s="48">
        <v>0</v>
      </c>
      <c r="AD199" s="48"/>
      <c r="AE199" s="48">
        <f t="shared" si="12"/>
        <v>1756659</v>
      </c>
      <c r="AF199" s="48"/>
      <c r="AG199" s="59"/>
      <c r="AH199" s="59"/>
      <c r="AI199" s="59"/>
      <c r="AJ199" s="59"/>
      <c r="AK199" s="59"/>
      <c r="AL199" s="8">
        <f>+'Gen Rev'!AI199-'Gen Exp'!AE199+'Gen Exp'!AI199-AK199</f>
        <v>-335044</v>
      </c>
      <c r="AM199" s="21" t="str">
        <f>'Gen Rev'!A199</f>
        <v>Fort Recovery</v>
      </c>
      <c r="AN199" s="67" t="str">
        <f t="shared" si="9"/>
        <v>Fort Recovery</v>
      </c>
      <c r="AO199" s="67" t="b">
        <f t="shared" si="10"/>
        <v>1</v>
      </c>
    </row>
    <row r="200" spans="1:41" ht="12" customHeight="1" x14ac:dyDescent="0.2">
      <c r="A200" s="1" t="s">
        <v>197</v>
      </c>
      <c r="C200" s="1" t="s">
        <v>485</v>
      </c>
      <c r="E200" s="48">
        <v>11504</v>
      </c>
      <c r="F200" s="48"/>
      <c r="G200" s="48">
        <v>0</v>
      </c>
      <c r="H200" s="48"/>
      <c r="I200" s="48">
        <v>4309.42</v>
      </c>
      <c r="J200" s="48"/>
      <c r="K200" s="48">
        <v>0</v>
      </c>
      <c r="L200" s="48"/>
      <c r="M200" s="48">
        <v>15851.12</v>
      </c>
      <c r="N200" s="48"/>
      <c r="O200" s="48">
        <v>0</v>
      </c>
      <c r="P200" s="48"/>
      <c r="Q200" s="48">
        <v>67638.05</v>
      </c>
      <c r="R200" s="48"/>
      <c r="S200" s="48">
        <v>20270.77</v>
      </c>
      <c r="T200" s="48"/>
      <c r="U200" s="48">
        <v>0</v>
      </c>
      <c r="V200" s="48"/>
      <c r="W200" s="48">
        <v>0</v>
      </c>
      <c r="X200" s="48"/>
      <c r="Y200" s="48">
        <v>56583.34</v>
      </c>
      <c r="Z200" s="48"/>
      <c r="AA200" s="48">
        <v>0</v>
      </c>
      <c r="AB200" s="48"/>
      <c r="AC200" s="48">
        <v>0</v>
      </c>
      <c r="AD200" s="48"/>
      <c r="AE200" s="48">
        <f t="shared" si="12"/>
        <v>176156.7</v>
      </c>
      <c r="AG200" s="55">
        <v>-70999.5</v>
      </c>
      <c r="AI200" s="55">
        <v>490388.07</v>
      </c>
      <c r="AK200" s="55">
        <v>419388.57</v>
      </c>
      <c r="AL200" s="8">
        <f>+'Gen Rev'!AI200-'Gen Exp'!AE200+'Gen Exp'!AI200-AK200</f>
        <v>0</v>
      </c>
      <c r="AM200" s="21" t="str">
        <f>'Gen Rev'!A200</f>
        <v>Frankfort</v>
      </c>
      <c r="AN200" s="67" t="str">
        <f t="shared" si="9"/>
        <v>Frankfort</v>
      </c>
      <c r="AO200" s="67" t="b">
        <f t="shared" si="10"/>
        <v>1</v>
      </c>
    </row>
    <row r="201" spans="1:41" ht="12" customHeight="1" x14ac:dyDescent="0.2"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L201" s="8"/>
      <c r="AM201" s="21"/>
      <c r="AN201" s="67"/>
      <c r="AO201" s="67"/>
    </row>
    <row r="202" spans="1:41" ht="12" customHeight="1" x14ac:dyDescent="0.2"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88" t="s">
        <v>733</v>
      </c>
      <c r="AL202" s="8"/>
      <c r="AM202" s="21"/>
      <c r="AN202" s="67"/>
      <c r="AO202" s="67"/>
    </row>
    <row r="203" spans="1:41" ht="12" customHeight="1" x14ac:dyDescent="0.2"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L203" s="8"/>
      <c r="AM203" s="21"/>
      <c r="AN203" s="67"/>
      <c r="AO203" s="67"/>
    </row>
    <row r="204" spans="1:41" ht="12" customHeight="1" x14ac:dyDescent="0.2">
      <c r="A204" s="1" t="s">
        <v>161</v>
      </c>
      <c r="C204" s="1" t="s">
        <v>450</v>
      </c>
      <c r="E204" s="68">
        <v>79014.850000000006</v>
      </c>
      <c r="F204" s="48"/>
      <c r="G204" s="68">
        <v>0</v>
      </c>
      <c r="H204" s="68"/>
      <c r="I204" s="68">
        <v>3322.39</v>
      </c>
      <c r="J204" s="68"/>
      <c r="K204" s="68">
        <v>4216.32</v>
      </c>
      <c r="L204" s="68"/>
      <c r="M204" s="68">
        <v>0</v>
      </c>
      <c r="N204" s="68"/>
      <c r="O204" s="68">
        <v>0</v>
      </c>
      <c r="P204" s="68"/>
      <c r="Q204" s="68">
        <v>94584.82</v>
      </c>
      <c r="R204" s="68"/>
      <c r="S204" s="68">
        <v>2550.66</v>
      </c>
      <c r="T204" s="68"/>
      <c r="U204" s="68">
        <v>0</v>
      </c>
      <c r="V204" s="68"/>
      <c r="W204" s="68">
        <v>0</v>
      </c>
      <c r="X204" s="68"/>
      <c r="Y204" s="68">
        <v>10030.040000000001</v>
      </c>
      <c r="Z204" s="68"/>
      <c r="AA204" s="68">
        <v>0</v>
      </c>
      <c r="AB204" s="68"/>
      <c r="AC204" s="68">
        <v>0</v>
      </c>
      <c r="AD204" s="68"/>
      <c r="AE204" s="68">
        <f t="shared" si="12"/>
        <v>193719.08000000002</v>
      </c>
      <c r="AG204" s="55">
        <v>44242.38</v>
      </c>
      <c r="AI204" s="55">
        <v>27434.799999999999</v>
      </c>
      <c r="AK204" s="55">
        <v>71677.179999999993</v>
      </c>
      <c r="AL204" s="8">
        <f>+'Gen Rev'!AI201-'Gen Exp'!AE204+'Gen Exp'!AI204-AK204</f>
        <v>0</v>
      </c>
      <c r="AM204" s="21" t="str">
        <f>'Gen Rev'!A201</f>
        <v>Frazeysburg</v>
      </c>
      <c r="AN204" s="67" t="str">
        <f t="shared" si="9"/>
        <v>Frazeysburg</v>
      </c>
      <c r="AO204" s="67" t="b">
        <f t="shared" si="10"/>
        <v>1</v>
      </c>
    </row>
    <row r="205" spans="1:41" ht="12" customHeight="1" x14ac:dyDescent="0.2">
      <c r="A205" s="1" t="s">
        <v>551</v>
      </c>
      <c r="C205" s="1" t="s">
        <v>547</v>
      </c>
      <c r="D205" s="17"/>
      <c r="E205" s="48">
        <v>6404</v>
      </c>
      <c r="F205" s="48"/>
      <c r="G205" s="48">
        <v>1606</v>
      </c>
      <c r="H205" s="48"/>
      <c r="I205" s="48">
        <v>1815</v>
      </c>
      <c r="J205" s="48"/>
      <c r="K205" s="48">
        <v>0</v>
      </c>
      <c r="L205" s="48"/>
      <c r="M205" s="48">
        <v>0</v>
      </c>
      <c r="N205" s="48"/>
      <c r="O205" s="48">
        <v>2763</v>
      </c>
      <c r="P205" s="48"/>
      <c r="Q205" s="48">
        <v>54497</v>
      </c>
      <c r="R205" s="48"/>
      <c r="S205" s="48">
        <v>0</v>
      </c>
      <c r="T205" s="48"/>
      <c r="U205" s="48">
        <v>0</v>
      </c>
      <c r="V205" s="48"/>
      <c r="W205" s="48">
        <v>0</v>
      </c>
      <c r="X205" s="48"/>
      <c r="Y205" s="48">
        <v>0</v>
      </c>
      <c r="Z205" s="48"/>
      <c r="AA205" s="48">
        <v>0</v>
      </c>
      <c r="AB205" s="48"/>
      <c r="AC205" s="48">
        <v>0</v>
      </c>
      <c r="AD205" s="48"/>
      <c r="AE205" s="48">
        <f t="shared" si="12"/>
        <v>67085</v>
      </c>
      <c r="AF205" s="48"/>
      <c r="AG205" s="59"/>
      <c r="AH205" s="59"/>
      <c r="AI205" s="59"/>
      <c r="AJ205" s="59"/>
      <c r="AK205" s="59"/>
      <c r="AL205" s="8">
        <f>+'Gen Rev'!AI202-'Gen Exp'!AE205+'Gen Exp'!AI205-AK205</f>
        <v>39409</v>
      </c>
      <c r="AM205" s="21" t="str">
        <f>'Gen Rev'!A202</f>
        <v>Fredericksburg</v>
      </c>
      <c r="AN205" s="67" t="str">
        <f t="shared" si="9"/>
        <v>Fredericksburg</v>
      </c>
      <c r="AO205" s="67" t="b">
        <f t="shared" si="10"/>
        <v>1</v>
      </c>
    </row>
    <row r="206" spans="1:41" ht="12" customHeight="1" x14ac:dyDescent="0.2">
      <c r="A206" s="1" t="s">
        <v>397</v>
      </c>
      <c r="C206" s="1" t="s">
        <v>396</v>
      </c>
      <c r="E206" s="48">
        <v>412980.61</v>
      </c>
      <c r="F206" s="48"/>
      <c r="G206" s="48">
        <v>1500</v>
      </c>
      <c r="H206" s="48"/>
      <c r="I206" s="48">
        <v>2426</v>
      </c>
      <c r="J206" s="48"/>
      <c r="K206" s="48">
        <v>3883.35</v>
      </c>
      <c r="L206" s="48"/>
      <c r="M206" s="48">
        <v>5828.79</v>
      </c>
      <c r="N206" s="48"/>
      <c r="O206" s="48">
        <v>143353.45000000001</v>
      </c>
      <c r="P206" s="48"/>
      <c r="Q206" s="48">
        <v>184209.92000000001</v>
      </c>
      <c r="R206" s="48"/>
      <c r="S206" s="48">
        <v>0</v>
      </c>
      <c r="T206" s="48"/>
      <c r="U206" s="48">
        <v>0</v>
      </c>
      <c r="V206" s="48"/>
      <c r="W206" s="48">
        <v>0</v>
      </c>
      <c r="X206" s="48"/>
      <c r="Y206" s="48">
        <v>0</v>
      </c>
      <c r="Z206" s="48"/>
      <c r="AA206" s="48">
        <v>0</v>
      </c>
      <c r="AB206" s="48"/>
      <c r="AC206" s="48">
        <v>9272.48</v>
      </c>
      <c r="AD206" s="48"/>
      <c r="AE206" s="48">
        <f t="shared" si="12"/>
        <v>763454.6</v>
      </c>
      <c r="AG206" s="55">
        <v>7572.22</v>
      </c>
      <c r="AI206" s="55">
        <v>211726.79</v>
      </c>
      <c r="AK206" s="55">
        <v>219299.01</v>
      </c>
      <c r="AL206" s="8">
        <f>+'Gen Rev'!AI203-'Gen Exp'!AE206+'Gen Exp'!AI206-AK206</f>
        <v>0</v>
      </c>
      <c r="AM206" s="21" t="str">
        <f>'Gen Rev'!A203</f>
        <v>Fredericktown</v>
      </c>
      <c r="AN206" s="67" t="str">
        <f t="shared" si="9"/>
        <v>Fredericktown</v>
      </c>
      <c r="AO206" s="67" t="b">
        <f t="shared" si="10"/>
        <v>1</v>
      </c>
    </row>
    <row r="207" spans="1:41" ht="12" customHeight="1" x14ac:dyDescent="0.2">
      <c r="A207" s="1" t="s">
        <v>375</v>
      </c>
      <c r="C207" s="1" t="s">
        <v>373</v>
      </c>
      <c r="D207" s="67"/>
      <c r="E207" s="48">
        <v>13047</v>
      </c>
      <c r="F207" s="48"/>
      <c r="G207" s="48">
        <v>692</v>
      </c>
      <c r="H207" s="48"/>
      <c r="I207" s="48">
        <v>19976</v>
      </c>
      <c r="J207" s="48"/>
      <c r="K207" s="48">
        <v>22585</v>
      </c>
      <c r="L207" s="48"/>
      <c r="M207" s="48">
        <v>270</v>
      </c>
      <c r="N207" s="48"/>
      <c r="O207" s="48">
        <v>8236</v>
      </c>
      <c r="P207" s="48"/>
      <c r="Q207" s="48">
        <v>24332</v>
      </c>
      <c r="R207" s="48"/>
      <c r="S207" s="48">
        <v>0</v>
      </c>
      <c r="T207" s="48"/>
      <c r="U207" s="48">
        <v>25000</v>
      </c>
      <c r="V207" s="48"/>
      <c r="W207" s="48">
        <v>0</v>
      </c>
      <c r="X207" s="48"/>
      <c r="Y207" s="48">
        <v>0</v>
      </c>
      <c r="Z207" s="48"/>
      <c r="AA207" s="48">
        <v>0</v>
      </c>
      <c r="AB207" s="48"/>
      <c r="AC207" s="48">
        <v>0</v>
      </c>
      <c r="AD207" s="48"/>
      <c r="AE207" s="48">
        <f t="shared" si="12"/>
        <v>114138</v>
      </c>
      <c r="AF207" s="48"/>
      <c r="AG207" s="59"/>
      <c r="AH207" s="59"/>
      <c r="AI207" s="59"/>
      <c r="AJ207" s="59"/>
      <c r="AK207" s="59"/>
      <c r="AL207" s="8">
        <f>+'Gen Rev'!AI204-'Gen Exp'!AE207+'Gen Exp'!AI207-AK207</f>
        <v>55420</v>
      </c>
      <c r="AM207" s="21" t="str">
        <f>'Gen Rev'!A204</f>
        <v>Freeport</v>
      </c>
      <c r="AN207" s="67" t="str">
        <f t="shared" si="9"/>
        <v>Freeport</v>
      </c>
      <c r="AO207" s="67" t="b">
        <f t="shared" si="10"/>
        <v>1</v>
      </c>
    </row>
    <row r="208" spans="1:41" s="5" customFormat="1" ht="12" customHeight="1" x14ac:dyDescent="0.2">
      <c r="A208" s="1" t="s">
        <v>332</v>
      </c>
      <c r="B208" s="1"/>
      <c r="C208" s="1" t="s">
        <v>226</v>
      </c>
      <c r="D208" s="1"/>
      <c r="E208" s="48">
        <v>3598.21</v>
      </c>
      <c r="F208" s="48"/>
      <c r="G208" s="48">
        <v>192.41</v>
      </c>
      <c r="H208" s="48"/>
      <c r="I208" s="48">
        <v>0</v>
      </c>
      <c r="J208" s="48"/>
      <c r="K208" s="48">
        <v>0</v>
      </c>
      <c r="L208" s="48"/>
      <c r="M208" s="48">
        <v>0</v>
      </c>
      <c r="N208" s="48"/>
      <c r="O208" s="48">
        <v>0</v>
      </c>
      <c r="P208" s="48"/>
      <c r="Q208" s="48">
        <v>28588.11</v>
      </c>
      <c r="R208" s="48"/>
      <c r="S208" s="48">
        <v>0</v>
      </c>
      <c r="T208" s="48"/>
      <c r="U208" s="48">
        <v>0</v>
      </c>
      <c r="V208" s="48"/>
      <c r="W208" s="48">
        <v>0</v>
      </c>
      <c r="X208" s="48"/>
      <c r="Y208" s="48">
        <v>0</v>
      </c>
      <c r="Z208" s="48"/>
      <c r="AA208" s="48">
        <v>0</v>
      </c>
      <c r="AB208" s="48"/>
      <c r="AC208" s="48">
        <v>0</v>
      </c>
      <c r="AD208" s="48"/>
      <c r="AE208" s="48">
        <f t="shared" si="12"/>
        <v>32378.73</v>
      </c>
      <c r="AF208" s="1"/>
      <c r="AG208" s="55">
        <v>-7218.44</v>
      </c>
      <c r="AH208" s="55"/>
      <c r="AI208" s="55">
        <v>27271.91</v>
      </c>
      <c r="AJ208" s="55"/>
      <c r="AK208" s="55">
        <v>20053.47</v>
      </c>
      <c r="AL208" s="8">
        <f>+'Gen Rev'!AI205-'Gen Exp'!AE208+'Gen Exp'!AI208-AK208</f>
        <v>0</v>
      </c>
      <c r="AM208" s="21" t="str">
        <f>'Gen Rev'!A205</f>
        <v>Fulton</v>
      </c>
      <c r="AN208" s="67" t="str">
        <f t="shared" si="9"/>
        <v>Fulton</v>
      </c>
      <c r="AO208" s="67" t="b">
        <f t="shared" si="10"/>
        <v>1</v>
      </c>
    </row>
    <row r="209" spans="1:41" ht="12" customHeight="1" x14ac:dyDescent="0.2">
      <c r="A209" s="1" t="s">
        <v>52</v>
      </c>
      <c r="C209" s="1" t="s">
        <v>320</v>
      </c>
      <c r="E209" s="48">
        <v>0</v>
      </c>
      <c r="F209" s="48"/>
      <c r="G209" s="48">
        <v>0</v>
      </c>
      <c r="H209" s="48"/>
      <c r="I209" s="48">
        <v>31058.73</v>
      </c>
      <c r="J209" s="48"/>
      <c r="K209" s="48">
        <v>23094.26</v>
      </c>
      <c r="L209" s="48"/>
      <c r="M209" s="48">
        <v>0</v>
      </c>
      <c r="N209" s="48"/>
      <c r="O209" s="48">
        <v>0</v>
      </c>
      <c r="P209" s="48"/>
      <c r="Q209" s="48">
        <v>317527.8</v>
      </c>
      <c r="R209" s="48"/>
      <c r="S209" s="48">
        <v>0</v>
      </c>
      <c r="T209" s="48"/>
      <c r="U209" s="48">
        <v>0</v>
      </c>
      <c r="V209" s="48"/>
      <c r="W209" s="48">
        <v>8456.25</v>
      </c>
      <c r="X209" s="48"/>
      <c r="Y209" s="48">
        <v>0</v>
      </c>
      <c r="Z209" s="48"/>
      <c r="AA209" s="48">
        <v>0</v>
      </c>
      <c r="AB209" s="48"/>
      <c r="AC209" s="48">
        <v>0</v>
      </c>
      <c r="AD209" s="48"/>
      <c r="AE209" s="48">
        <f t="shared" si="12"/>
        <v>380137.04</v>
      </c>
      <c r="AG209" s="55">
        <v>66959.89</v>
      </c>
      <c r="AI209" s="55">
        <v>272611.5</v>
      </c>
      <c r="AK209" s="55">
        <v>339571.39</v>
      </c>
      <c r="AL209" s="8">
        <f>+'Gen Rev'!AI206-'Gen Exp'!AE209+'Gen Exp'!AI209-AK209</f>
        <v>0</v>
      </c>
      <c r="AM209" s="21" t="str">
        <f>'Gen Rev'!A206</f>
        <v>Galena</v>
      </c>
      <c r="AN209" s="67" t="str">
        <f t="shared" si="9"/>
        <v>Galena</v>
      </c>
      <c r="AO209" s="67" t="b">
        <f t="shared" si="10"/>
        <v>1</v>
      </c>
    </row>
    <row r="210" spans="1:41" ht="12" customHeight="1" x14ac:dyDescent="0.2">
      <c r="A210" s="1" t="s">
        <v>337</v>
      </c>
      <c r="C210" s="1" t="s">
        <v>338</v>
      </c>
      <c r="E210" s="48">
        <f>1075712+182906</f>
        <v>1258618</v>
      </c>
      <c r="F210" s="48"/>
      <c r="G210" s="48">
        <v>24191</v>
      </c>
      <c r="H210" s="48"/>
      <c r="I210" s="48">
        <v>137168</v>
      </c>
      <c r="J210" s="48"/>
      <c r="K210" s="48">
        <v>79081</v>
      </c>
      <c r="L210" s="48"/>
      <c r="M210" s="48">
        <v>0</v>
      </c>
      <c r="N210" s="48"/>
      <c r="O210" s="48">
        <v>61665</v>
      </c>
      <c r="P210" s="48"/>
      <c r="Q210" s="48">
        <f>966602+359569</f>
        <v>1326171</v>
      </c>
      <c r="R210" s="48"/>
      <c r="S210" s="48">
        <v>42815</v>
      </c>
      <c r="T210" s="48"/>
      <c r="U210" s="48">
        <v>0</v>
      </c>
      <c r="V210" s="48"/>
      <c r="W210" s="48">
        <v>0</v>
      </c>
      <c r="X210" s="48"/>
      <c r="Y210" s="48">
        <v>402472</v>
      </c>
      <c r="Z210" s="48"/>
      <c r="AA210" s="48">
        <v>6000</v>
      </c>
      <c r="AB210" s="48"/>
      <c r="AC210" s="48">
        <v>0</v>
      </c>
      <c r="AD210" s="48"/>
      <c r="AE210" s="48">
        <f t="shared" si="12"/>
        <v>3338181</v>
      </c>
      <c r="AF210" s="48"/>
      <c r="AG210" s="59"/>
      <c r="AH210" s="59"/>
      <c r="AI210" s="59"/>
      <c r="AJ210" s="59"/>
      <c r="AK210" s="59"/>
      <c r="AL210" s="8">
        <f>+'Gen Rev'!AI210-'Gen Exp'!AE210+'Gen Exp'!AI210-AK210</f>
        <v>-2983</v>
      </c>
      <c r="AM210" s="21" t="str">
        <f>'Gen Rev'!A210</f>
        <v>Gallipolis</v>
      </c>
      <c r="AN210" s="67" t="str">
        <f t="shared" si="9"/>
        <v>Gallipolis</v>
      </c>
      <c r="AO210" s="67" t="b">
        <f t="shared" si="10"/>
        <v>1</v>
      </c>
    </row>
    <row r="211" spans="1:41" ht="12" customHeight="1" x14ac:dyDescent="0.2">
      <c r="A211" s="1" t="s">
        <v>769</v>
      </c>
      <c r="C211" s="1" t="s">
        <v>689</v>
      </c>
      <c r="D211" s="7"/>
      <c r="E211" s="48">
        <v>159013</v>
      </c>
      <c r="F211" s="48"/>
      <c r="G211" s="48">
        <v>2902</v>
      </c>
      <c r="H211" s="48"/>
      <c r="I211" s="48">
        <v>5502</v>
      </c>
      <c r="J211" s="48"/>
      <c r="K211" s="48">
        <v>1796</v>
      </c>
      <c r="L211" s="48"/>
      <c r="M211" s="48">
        <v>41265</v>
      </c>
      <c r="N211" s="48"/>
      <c r="O211" s="48">
        <v>13224</v>
      </c>
      <c r="P211" s="48"/>
      <c r="Q211" s="48">
        <v>378028</v>
      </c>
      <c r="R211" s="48"/>
      <c r="S211" s="48">
        <v>261315</v>
      </c>
      <c r="T211" s="48"/>
      <c r="U211" s="48">
        <v>0</v>
      </c>
      <c r="V211" s="48"/>
      <c r="W211" s="48">
        <v>0</v>
      </c>
      <c r="X211" s="48"/>
      <c r="Y211" s="48">
        <v>0</v>
      </c>
      <c r="Z211" s="48"/>
      <c r="AA211" s="48">
        <v>0</v>
      </c>
      <c r="AB211" s="48"/>
      <c r="AC211" s="48">
        <v>7201</v>
      </c>
      <c r="AD211" s="48"/>
      <c r="AE211" s="48">
        <f t="shared" si="12"/>
        <v>870246</v>
      </c>
      <c r="AF211" s="48"/>
      <c r="AG211" s="59"/>
      <c r="AH211" s="59"/>
      <c r="AI211" s="59"/>
      <c r="AJ211" s="59"/>
      <c r="AK211" s="59"/>
      <c r="AL211" s="8">
        <f>+'Gen Rev'!AI211-'Gen Exp'!AE211+'Gen Exp'!AI211-AK211</f>
        <v>34773</v>
      </c>
      <c r="AM211" s="21" t="str">
        <f>'Gen Rev'!A211</f>
        <v>Gambier</v>
      </c>
      <c r="AN211" s="67" t="str">
        <f t="shared" ref="AN211:AN277" si="13">A211</f>
        <v>Gambier</v>
      </c>
      <c r="AO211" s="67" t="b">
        <f t="shared" ref="AO211:AO277" si="14">AM211=AN211</f>
        <v>1</v>
      </c>
    </row>
    <row r="212" spans="1:41" ht="12" customHeight="1" x14ac:dyDescent="0.2">
      <c r="A212" s="1" t="s">
        <v>470</v>
      </c>
      <c r="C212" s="1" t="s">
        <v>241</v>
      </c>
      <c r="E212" s="48">
        <v>855141</v>
      </c>
      <c r="F212" s="48"/>
      <c r="G212" s="48">
        <v>0</v>
      </c>
      <c r="H212" s="48"/>
      <c r="I212" s="48">
        <v>66518</v>
      </c>
      <c r="J212" s="48"/>
      <c r="K212" s="48">
        <v>12444</v>
      </c>
      <c r="L212" s="48"/>
      <c r="M212" s="48">
        <v>616</v>
      </c>
      <c r="N212" s="48"/>
      <c r="O212" s="48">
        <v>14384</v>
      </c>
      <c r="P212" s="48"/>
      <c r="Q212" s="48">
        <f>329918+6384</f>
        <v>336302</v>
      </c>
      <c r="R212" s="48"/>
      <c r="S212" s="48">
        <v>45415</v>
      </c>
      <c r="T212" s="48"/>
      <c r="U212" s="48">
        <v>0</v>
      </c>
      <c r="V212" s="48"/>
      <c r="W212" s="48">
        <v>14083</v>
      </c>
      <c r="X212" s="48"/>
      <c r="Y212" s="48">
        <v>0</v>
      </c>
      <c r="Z212" s="48"/>
      <c r="AA212" s="48">
        <v>0</v>
      </c>
      <c r="AB212" s="48"/>
      <c r="AC212" s="48">
        <v>80</v>
      </c>
      <c r="AD212" s="48"/>
      <c r="AE212" s="48">
        <f t="shared" si="12"/>
        <v>1344983</v>
      </c>
      <c r="AF212" s="48"/>
      <c r="AG212" s="59"/>
      <c r="AH212" s="59"/>
      <c r="AI212" s="59"/>
      <c r="AJ212" s="59"/>
      <c r="AK212" s="59"/>
      <c r="AL212" s="8">
        <f>+'Gen Rev'!AI212-'Gen Exp'!AE212+'Gen Exp'!AI212-AK212</f>
        <v>-61753</v>
      </c>
      <c r="AM212" s="21" t="str">
        <f>'Gen Rev'!A212</f>
        <v>Garrettsville</v>
      </c>
      <c r="AN212" s="67" t="str">
        <f t="shared" si="13"/>
        <v>Garrettsville</v>
      </c>
      <c r="AO212" s="67" t="b">
        <f t="shared" si="14"/>
        <v>1</v>
      </c>
    </row>
    <row r="213" spans="1:41" ht="12" customHeight="1" x14ac:dyDescent="0.2">
      <c r="A213" s="1" t="s">
        <v>297</v>
      </c>
      <c r="C213" s="1" t="s">
        <v>293</v>
      </c>
      <c r="E213" s="48">
        <v>1561268</v>
      </c>
      <c r="F213" s="48"/>
      <c r="G213" s="48">
        <v>0</v>
      </c>
      <c r="H213" s="48"/>
      <c r="I213" s="48">
        <v>23260</v>
      </c>
      <c r="J213" s="48"/>
      <c r="K213" s="48">
        <v>4112</v>
      </c>
      <c r="L213" s="48"/>
      <c r="M213" s="48">
        <v>33309</v>
      </c>
      <c r="N213" s="48"/>
      <c r="O213" s="48">
        <v>659117</v>
      </c>
      <c r="P213" s="48"/>
      <c r="Q213" s="48">
        <v>1315611</v>
      </c>
      <c r="R213" s="48"/>
      <c r="S213" s="48">
        <v>0</v>
      </c>
      <c r="T213" s="48"/>
      <c r="U213" s="48">
        <v>0</v>
      </c>
      <c r="V213" s="48"/>
      <c r="W213" s="48">
        <v>0</v>
      </c>
      <c r="X213" s="48"/>
      <c r="Y213" s="48">
        <v>658581</v>
      </c>
      <c r="Z213" s="48"/>
      <c r="AA213" s="48">
        <v>0</v>
      </c>
      <c r="AB213" s="48"/>
      <c r="AC213" s="48">
        <v>0</v>
      </c>
      <c r="AD213" s="48"/>
      <c r="AE213" s="48">
        <f t="shared" si="12"/>
        <v>4255258</v>
      </c>
      <c r="AF213" s="48"/>
      <c r="AG213" s="59"/>
      <c r="AH213" s="59"/>
      <c r="AI213" s="59"/>
      <c r="AJ213" s="59"/>
      <c r="AK213" s="59"/>
      <c r="AL213" s="8">
        <f>+'Gen Rev'!AI213-'Gen Exp'!AE213+'Gen Exp'!AI213-AK213</f>
        <v>638118</v>
      </c>
      <c r="AM213" s="21" t="str">
        <f>'Gen Rev'!A213</f>
        <v>Gates Mills</v>
      </c>
      <c r="AN213" s="67" t="str">
        <f t="shared" si="13"/>
        <v>Gates Mills</v>
      </c>
      <c r="AO213" s="67" t="b">
        <f t="shared" si="14"/>
        <v>1</v>
      </c>
    </row>
    <row r="214" spans="1:41" ht="12" customHeight="1" x14ac:dyDescent="0.2">
      <c r="A214" s="1" t="s">
        <v>251</v>
      </c>
      <c r="C214" s="1" t="s">
        <v>624</v>
      </c>
      <c r="E214" s="48">
        <v>320366.56</v>
      </c>
      <c r="F214" s="48"/>
      <c r="G214" s="48">
        <v>0</v>
      </c>
      <c r="H214" s="48"/>
      <c r="I214" s="48">
        <v>0</v>
      </c>
      <c r="J214" s="48"/>
      <c r="K214" s="48">
        <v>0</v>
      </c>
      <c r="L214" s="48"/>
      <c r="M214" s="48">
        <v>0</v>
      </c>
      <c r="N214" s="48"/>
      <c r="O214" s="48">
        <v>0</v>
      </c>
      <c r="P214" s="48"/>
      <c r="Q214" s="48">
        <v>205700.18</v>
      </c>
      <c r="R214" s="48"/>
      <c r="S214" s="48">
        <v>25151.08</v>
      </c>
      <c r="T214" s="48"/>
      <c r="U214" s="48">
        <v>0</v>
      </c>
      <c r="V214" s="48"/>
      <c r="W214" s="48">
        <v>0</v>
      </c>
      <c r="X214" s="48"/>
      <c r="Y214" s="48">
        <v>43442</v>
      </c>
      <c r="Z214" s="48"/>
      <c r="AA214" s="48">
        <v>50000</v>
      </c>
      <c r="AB214" s="48"/>
      <c r="AC214" s="48">
        <v>0</v>
      </c>
      <c r="AD214" s="48"/>
      <c r="AE214" s="48">
        <f t="shared" si="12"/>
        <v>644659.81999999995</v>
      </c>
      <c r="AG214" s="55">
        <v>27032.16</v>
      </c>
      <c r="AI214" s="55">
        <v>76897.16</v>
      </c>
      <c r="AK214" s="55">
        <v>103929.32</v>
      </c>
      <c r="AL214" s="8">
        <f>+'Gen Rev'!AI214-'Gen Exp'!AE214+'Gen Exp'!AI214-AK214</f>
        <v>0</v>
      </c>
      <c r="AM214" s="21" t="str">
        <f>'Gen Rev'!A214</f>
        <v>Geneva On The Lake</v>
      </c>
      <c r="AN214" s="67" t="str">
        <f t="shared" si="13"/>
        <v>Geneva On The Lake</v>
      </c>
      <c r="AO214" s="67" t="b">
        <f t="shared" si="14"/>
        <v>1</v>
      </c>
    </row>
    <row r="215" spans="1:41" s="67" customFormat="1" ht="12" customHeight="1" x14ac:dyDescent="0.2">
      <c r="A215" s="1" t="s">
        <v>457</v>
      </c>
      <c r="B215" s="1"/>
      <c r="C215" s="1" t="s">
        <v>192</v>
      </c>
      <c r="D215" s="1"/>
      <c r="E215" s="48">
        <v>445505</v>
      </c>
      <c r="F215" s="48"/>
      <c r="G215" s="48">
        <v>6183</v>
      </c>
      <c r="H215" s="48"/>
      <c r="I215" s="48">
        <v>0</v>
      </c>
      <c r="J215" s="48"/>
      <c r="K215" s="48">
        <v>9796</v>
      </c>
      <c r="L215" s="48"/>
      <c r="M215" s="48">
        <v>0</v>
      </c>
      <c r="N215" s="48"/>
      <c r="O215" s="48">
        <v>0</v>
      </c>
      <c r="P215" s="48"/>
      <c r="Q215" s="48">
        <v>281749</v>
      </c>
      <c r="R215" s="48"/>
      <c r="S215" s="48">
        <v>0</v>
      </c>
      <c r="T215" s="48"/>
      <c r="U215" s="48">
        <v>0</v>
      </c>
      <c r="V215" s="48"/>
      <c r="W215" s="48">
        <v>0</v>
      </c>
      <c r="X215" s="48"/>
      <c r="Y215" s="48">
        <v>68536</v>
      </c>
      <c r="Z215" s="48"/>
      <c r="AA215" s="48">
        <v>35000</v>
      </c>
      <c r="AB215" s="48"/>
      <c r="AC215" s="48">
        <v>0</v>
      </c>
      <c r="AD215" s="48"/>
      <c r="AE215" s="48">
        <f t="shared" si="12"/>
        <v>846769</v>
      </c>
      <c r="AF215" s="48"/>
      <c r="AG215" s="59"/>
      <c r="AH215" s="59"/>
      <c r="AI215" s="59"/>
      <c r="AJ215" s="59"/>
      <c r="AK215" s="59"/>
      <c r="AL215" s="8">
        <f>+'Gen Rev'!AI215-'Gen Exp'!AE215+'Gen Exp'!AI215-AK215</f>
        <v>-4241</v>
      </c>
      <c r="AM215" s="21" t="str">
        <f>'Gen Rev'!A215</f>
        <v>Genoa</v>
      </c>
      <c r="AN215" s="67" t="str">
        <f t="shared" si="13"/>
        <v>Genoa</v>
      </c>
      <c r="AO215" s="67" t="b">
        <f t="shared" si="14"/>
        <v>1</v>
      </c>
    </row>
    <row r="216" spans="1:41" s="6" customFormat="1" ht="12" customHeight="1" x14ac:dyDescent="0.2">
      <c r="A216" s="1" t="s">
        <v>22</v>
      </c>
      <c r="B216" s="1"/>
      <c r="C216" s="1" t="s">
        <v>265</v>
      </c>
      <c r="D216" s="1"/>
      <c r="E216" s="48">
        <v>741098.3</v>
      </c>
      <c r="F216" s="48"/>
      <c r="G216" s="48">
        <v>10900.61</v>
      </c>
      <c r="H216" s="48"/>
      <c r="I216" s="48">
        <v>0</v>
      </c>
      <c r="J216" s="48"/>
      <c r="K216" s="48">
        <v>0</v>
      </c>
      <c r="L216" s="48"/>
      <c r="M216" s="48">
        <v>0</v>
      </c>
      <c r="N216" s="48"/>
      <c r="O216" s="48">
        <v>0</v>
      </c>
      <c r="P216" s="48"/>
      <c r="Q216" s="48">
        <v>160426.71</v>
      </c>
      <c r="R216" s="48"/>
      <c r="S216" s="48">
        <v>74797.56</v>
      </c>
      <c r="T216" s="48"/>
      <c r="U216" s="48">
        <v>18880.18</v>
      </c>
      <c r="V216" s="48"/>
      <c r="W216" s="48">
        <v>1080.52</v>
      </c>
      <c r="X216" s="48"/>
      <c r="Y216" s="48">
        <v>0</v>
      </c>
      <c r="Z216" s="48"/>
      <c r="AA216" s="48">
        <v>0</v>
      </c>
      <c r="AB216" s="48"/>
      <c r="AC216" s="48">
        <v>2018</v>
      </c>
      <c r="AD216" s="48"/>
      <c r="AE216" s="48">
        <f t="shared" si="12"/>
        <v>1009201.88</v>
      </c>
      <c r="AF216" s="1"/>
      <c r="AG216" s="55">
        <v>-34096.699999999997</v>
      </c>
      <c r="AH216" s="55"/>
      <c r="AI216" s="55">
        <v>886292.66</v>
      </c>
      <c r="AJ216" s="55"/>
      <c r="AK216" s="55">
        <v>852195.96</v>
      </c>
      <c r="AL216" s="8">
        <f>+'Gen Rev'!AI216-'Gen Exp'!AE216+'Gen Exp'!AI216-AK216</f>
        <v>0</v>
      </c>
      <c r="AM216" s="21" t="str">
        <f>'Gen Rev'!A216</f>
        <v>Georgetown</v>
      </c>
      <c r="AN216" s="67" t="str">
        <f t="shared" si="13"/>
        <v>Georgetown</v>
      </c>
      <c r="AO216" s="67" t="b">
        <f t="shared" si="14"/>
        <v>1</v>
      </c>
    </row>
    <row r="217" spans="1:41" s="67" customFormat="1" ht="12" customHeight="1" x14ac:dyDescent="0.2">
      <c r="A217" s="1" t="s">
        <v>49</v>
      </c>
      <c r="B217" s="1"/>
      <c r="C217" s="1" t="s">
        <v>306</v>
      </c>
      <c r="D217" s="1"/>
      <c r="E217" s="48">
        <v>29231.45</v>
      </c>
      <c r="F217" s="48"/>
      <c r="G217" s="48">
        <v>834.5</v>
      </c>
      <c r="H217" s="48"/>
      <c r="I217" s="48">
        <v>0</v>
      </c>
      <c r="J217" s="48"/>
      <c r="K217" s="48">
        <v>4047.14</v>
      </c>
      <c r="L217" s="48"/>
      <c r="M217" s="48">
        <v>0</v>
      </c>
      <c r="N217" s="48"/>
      <c r="O217" s="48">
        <v>18761.509999999998</v>
      </c>
      <c r="P217" s="48"/>
      <c r="Q217" s="48">
        <v>42040.67</v>
      </c>
      <c r="R217" s="48"/>
      <c r="S217" s="48">
        <v>0</v>
      </c>
      <c r="T217" s="48"/>
      <c r="U217" s="48">
        <v>0</v>
      </c>
      <c r="V217" s="48"/>
      <c r="W217" s="48">
        <v>0</v>
      </c>
      <c r="X217" s="48"/>
      <c r="Y217" s="48">
        <v>0</v>
      </c>
      <c r="Z217" s="48"/>
      <c r="AA217" s="48">
        <v>4200</v>
      </c>
      <c r="AB217" s="48"/>
      <c r="AC217" s="48">
        <v>0</v>
      </c>
      <c r="AD217" s="48"/>
      <c r="AE217" s="48">
        <f t="shared" si="12"/>
        <v>99115.27</v>
      </c>
      <c r="AF217" s="1"/>
      <c r="AG217" s="55">
        <v>-39774.03</v>
      </c>
      <c r="AH217" s="55"/>
      <c r="AI217" s="55">
        <v>27476.7</v>
      </c>
      <c r="AJ217" s="55"/>
      <c r="AK217" s="55">
        <v>-12297.33</v>
      </c>
      <c r="AL217" s="8">
        <f>+'Gen Rev'!AI217-'Gen Exp'!AE217+'Gen Exp'!AI217-AK217</f>
        <v>0</v>
      </c>
      <c r="AM217" s="21" t="str">
        <f>'Gen Rev'!A217</f>
        <v>Gettysburg</v>
      </c>
      <c r="AN217" s="67" t="str">
        <f t="shared" si="13"/>
        <v>Gettysburg</v>
      </c>
      <c r="AO217" s="67" t="b">
        <f t="shared" si="14"/>
        <v>1</v>
      </c>
    </row>
    <row r="218" spans="1:41" ht="12" customHeight="1" x14ac:dyDescent="0.2">
      <c r="A218" s="1" t="s">
        <v>488</v>
      </c>
      <c r="C218" s="1" t="s">
        <v>487</v>
      </c>
      <c r="E218" s="48">
        <v>427146.71</v>
      </c>
      <c r="F218" s="48"/>
      <c r="G218" s="48">
        <v>1165.74</v>
      </c>
      <c r="H218" s="48"/>
      <c r="I218" s="48">
        <v>69072.899999999994</v>
      </c>
      <c r="J218" s="48"/>
      <c r="K218" s="48">
        <v>5614.52</v>
      </c>
      <c r="L218" s="48"/>
      <c r="M218" s="48">
        <v>0</v>
      </c>
      <c r="N218" s="48"/>
      <c r="O218" s="48">
        <v>0</v>
      </c>
      <c r="P218" s="48"/>
      <c r="Q218" s="48">
        <v>239744.84</v>
      </c>
      <c r="R218" s="48"/>
      <c r="S218" s="48">
        <v>439753.71</v>
      </c>
      <c r="T218" s="48"/>
      <c r="U218" s="48">
        <v>0</v>
      </c>
      <c r="V218" s="48"/>
      <c r="W218" s="48">
        <v>0</v>
      </c>
      <c r="X218" s="48"/>
      <c r="Y218" s="48">
        <v>123821.26</v>
      </c>
      <c r="Z218" s="48"/>
      <c r="AA218" s="48">
        <v>0</v>
      </c>
      <c r="AB218" s="48"/>
      <c r="AC218" s="48">
        <v>0</v>
      </c>
      <c r="AD218" s="48"/>
      <c r="AE218" s="48">
        <f t="shared" si="12"/>
        <v>1306319.68</v>
      </c>
      <c r="AG218" s="55">
        <v>-260747.37</v>
      </c>
      <c r="AI218" s="55">
        <v>974535.89</v>
      </c>
      <c r="AK218" s="55">
        <v>713788.52</v>
      </c>
      <c r="AL218" s="8">
        <f>+'Gen Rev'!AI218-'Gen Exp'!AE218+'Gen Exp'!AI218-AK218</f>
        <v>0</v>
      </c>
      <c r="AM218" s="21" t="str">
        <f>'Gen Rev'!A218</f>
        <v>Gibsonburg</v>
      </c>
      <c r="AN218" s="67" t="str">
        <f t="shared" si="13"/>
        <v>Gibsonburg</v>
      </c>
      <c r="AO218" s="67" t="b">
        <f t="shared" si="14"/>
        <v>1</v>
      </c>
    </row>
    <row r="219" spans="1:41" s="67" customFormat="1" ht="12" customHeight="1" x14ac:dyDescent="0.2">
      <c r="A219" s="1" t="s">
        <v>190</v>
      </c>
      <c r="B219" s="1"/>
      <c r="C219" s="1" t="s">
        <v>476</v>
      </c>
      <c r="D219" s="1"/>
      <c r="E219" s="48">
        <v>11647.55</v>
      </c>
      <c r="F219" s="48"/>
      <c r="G219" s="48">
        <v>0</v>
      </c>
      <c r="H219" s="48"/>
      <c r="I219" s="48">
        <v>13447.84</v>
      </c>
      <c r="J219" s="48"/>
      <c r="K219" s="48">
        <v>6.11</v>
      </c>
      <c r="L219" s="48"/>
      <c r="M219" s="48">
        <v>7222.33</v>
      </c>
      <c r="N219" s="48"/>
      <c r="O219" s="48">
        <v>0</v>
      </c>
      <c r="P219" s="48"/>
      <c r="Q219" s="48">
        <v>25289.75</v>
      </c>
      <c r="R219" s="48"/>
      <c r="S219" s="48">
        <v>1216.24</v>
      </c>
      <c r="T219" s="48"/>
      <c r="U219" s="48">
        <v>0</v>
      </c>
      <c r="V219" s="48"/>
      <c r="W219" s="48">
        <v>0</v>
      </c>
      <c r="X219" s="48"/>
      <c r="Y219" s="48">
        <v>0</v>
      </c>
      <c r="Z219" s="48"/>
      <c r="AA219" s="48">
        <v>0</v>
      </c>
      <c r="AB219" s="48"/>
      <c r="AC219" s="48">
        <v>0</v>
      </c>
      <c r="AD219" s="48"/>
      <c r="AE219" s="48">
        <f t="shared" si="12"/>
        <v>58829.82</v>
      </c>
      <c r="AF219" s="1"/>
      <c r="AG219" s="55">
        <v>-8572.77</v>
      </c>
      <c r="AH219" s="55"/>
      <c r="AI219" s="55">
        <v>140358.57</v>
      </c>
      <c r="AJ219" s="55"/>
      <c r="AK219" s="55">
        <v>131785.79999999999</v>
      </c>
      <c r="AL219" s="8">
        <f>+'Gen Rev'!AI219-'Gen Exp'!AE219+'Gen Exp'!AI219-AK219</f>
        <v>0</v>
      </c>
      <c r="AM219" s="21" t="str">
        <f>'Gen Rev'!A219</f>
        <v>Gilboa</v>
      </c>
      <c r="AN219" s="67" t="str">
        <f t="shared" si="13"/>
        <v>Gilboa</v>
      </c>
      <c r="AO219" s="67" t="b">
        <f t="shared" si="14"/>
        <v>1</v>
      </c>
    </row>
    <row r="220" spans="1:41" ht="12" customHeight="1" x14ac:dyDescent="0.2">
      <c r="A220" s="1" t="s">
        <v>477</v>
      </c>
      <c r="C220" s="1" t="s">
        <v>476</v>
      </c>
      <c r="E220" s="48">
        <v>74622.570000000007</v>
      </c>
      <c r="F220" s="48"/>
      <c r="G220" s="48">
        <v>5009.55</v>
      </c>
      <c r="H220" s="48"/>
      <c r="I220" s="48">
        <v>18181.009999999998</v>
      </c>
      <c r="J220" s="48"/>
      <c r="K220" s="48">
        <v>9806.56</v>
      </c>
      <c r="L220" s="48"/>
      <c r="M220" s="48">
        <v>32546.42</v>
      </c>
      <c r="N220" s="48"/>
      <c r="O220" s="48">
        <v>5882.37</v>
      </c>
      <c r="P220" s="48"/>
      <c r="Q220" s="48">
        <v>324690.74</v>
      </c>
      <c r="R220" s="48"/>
      <c r="S220" s="48">
        <v>0</v>
      </c>
      <c r="T220" s="48"/>
      <c r="U220" s="48">
        <v>20313.919999999998</v>
      </c>
      <c r="V220" s="48"/>
      <c r="W220" s="48">
        <v>3035.35</v>
      </c>
      <c r="X220" s="48"/>
      <c r="Y220" s="48">
        <v>0</v>
      </c>
      <c r="Z220" s="48"/>
      <c r="AA220" s="48">
        <v>0</v>
      </c>
      <c r="AB220" s="48"/>
      <c r="AC220" s="48">
        <v>0</v>
      </c>
      <c r="AD220" s="48"/>
      <c r="AE220" s="48">
        <f t="shared" si="12"/>
        <v>494088.48999999993</v>
      </c>
      <c r="AG220" s="55">
        <v>48618.39</v>
      </c>
      <c r="AI220" s="55">
        <v>306943.61</v>
      </c>
      <c r="AK220" s="55">
        <v>355562</v>
      </c>
      <c r="AL220" s="8">
        <f>+'Gen Rev'!AI220-'Gen Exp'!AE220+'Gen Exp'!AI220-AK220</f>
        <v>0</v>
      </c>
      <c r="AM220" s="21" t="str">
        <f>'Gen Rev'!A220</f>
        <v>Glandorf</v>
      </c>
      <c r="AN220" s="67" t="str">
        <f t="shared" si="13"/>
        <v>Glandorf</v>
      </c>
      <c r="AO220" s="67" t="b">
        <f t="shared" si="14"/>
        <v>1</v>
      </c>
    </row>
    <row r="221" spans="1:41" ht="12" customHeight="1" x14ac:dyDescent="0.2">
      <c r="A221" s="1" t="s">
        <v>354</v>
      </c>
      <c r="C221" s="1" t="s">
        <v>351</v>
      </c>
      <c r="E221" s="48">
        <v>958175</v>
      </c>
      <c r="F221" s="48"/>
      <c r="G221" s="48">
        <v>5957</v>
      </c>
      <c r="H221" s="48"/>
      <c r="I221" s="48">
        <v>18399</v>
      </c>
      <c r="J221" s="48"/>
      <c r="K221" s="48">
        <v>381</v>
      </c>
      <c r="L221" s="48"/>
      <c r="M221" s="48">
        <v>362726</v>
      </c>
      <c r="N221" s="48"/>
      <c r="O221" s="48">
        <v>237156</v>
      </c>
      <c r="P221" s="48"/>
      <c r="Q221" s="48">
        <v>429945</v>
      </c>
      <c r="R221" s="48"/>
      <c r="S221" s="48">
        <v>0</v>
      </c>
      <c r="T221" s="48"/>
      <c r="U221" s="48">
        <v>0</v>
      </c>
      <c r="V221" s="48"/>
      <c r="W221" s="48">
        <v>0</v>
      </c>
      <c r="X221" s="48"/>
      <c r="Y221" s="48">
        <v>0</v>
      </c>
      <c r="Z221" s="48"/>
      <c r="AA221" s="48">
        <v>0</v>
      </c>
      <c r="AB221" s="48"/>
      <c r="AC221" s="48">
        <v>0</v>
      </c>
      <c r="AD221" s="48"/>
      <c r="AE221" s="48">
        <f t="shared" si="12"/>
        <v>2012739</v>
      </c>
      <c r="AF221" s="48"/>
      <c r="AG221" s="59"/>
      <c r="AH221" s="59"/>
      <c r="AI221" s="59"/>
      <c r="AJ221" s="59"/>
      <c r="AK221" s="59"/>
      <c r="AL221" s="8">
        <f>+'Gen Rev'!AI221-'Gen Exp'!AE221+'Gen Exp'!AI221-AK221</f>
        <v>326332</v>
      </c>
      <c r="AM221" s="21" t="str">
        <f>'Gen Rev'!A221</f>
        <v>Glendale</v>
      </c>
      <c r="AN221" s="67" t="str">
        <f t="shared" si="13"/>
        <v>Glendale</v>
      </c>
      <c r="AO221" s="67" t="b">
        <f t="shared" si="14"/>
        <v>1</v>
      </c>
    </row>
    <row r="222" spans="1:41" s="67" customFormat="1" ht="12" customHeight="1" x14ac:dyDescent="0.2">
      <c r="A222" s="1" t="s">
        <v>465</v>
      </c>
      <c r="B222" s="1"/>
      <c r="C222" s="1" t="s">
        <v>464</v>
      </c>
      <c r="D222" s="1"/>
      <c r="E222" s="48">
        <v>1702</v>
      </c>
      <c r="F222" s="48"/>
      <c r="G222" s="48">
        <v>0</v>
      </c>
      <c r="H222" s="48"/>
      <c r="I222" s="48">
        <v>0</v>
      </c>
      <c r="J222" s="48"/>
      <c r="K222" s="48">
        <v>0</v>
      </c>
      <c r="L222" s="48"/>
      <c r="M222" s="48">
        <v>0</v>
      </c>
      <c r="N222" s="48"/>
      <c r="O222" s="48">
        <v>0</v>
      </c>
      <c r="P222" s="48"/>
      <c r="Q222" s="48">
        <v>18015.66</v>
      </c>
      <c r="R222" s="48"/>
      <c r="S222" s="48">
        <v>0</v>
      </c>
      <c r="T222" s="48"/>
      <c r="U222" s="48">
        <v>0</v>
      </c>
      <c r="V222" s="48"/>
      <c r="W222" s="48">
        <v>0</v>
      </c>
      <c r="X222" s="48"/>
      <c r="Y222" s="48">
        <v>0</v>
      </c>
      <c r="Z222" s="48"/>
      <c r="AA222" s="48">
        <v>0</v>
      </c>
      <c r="AB222" s="48"/>
      <c r="AC222" s="48">
        <v>1506.26</v>
      </c>
      <c r="AD222" s="48"/>
      <c r="AE222" s="48">
        <f t="shared" si="12"/>
        <v>21223.919999999998</v>
      </c>
      <c r="AF222" s="1"/>
      <c r="AG222" s="55">
        <v>6547.41</v>
      </c>
      <c r="AH222" s="55"/>
      <c r="AI222" s="55">
        <v>4463.91</v>
      </c>
      <c r="AJ222" s="55"/>
      <c r="AK222" s="55">
        <v>11011.32</v>
      </c>
      <c r="AL222" s="8">
        <f>+'Gen Rev'!AI222-'Gen Exp'!AE222+'Gen Exp'!AI222-AK222</f>
        <v>0</v>
      </c>
      <c r="AM222" s="21" t="str">
        <f>'Gen Rev'!A222</f>
        <v>Glenford</v>
      </c>
      <c r="AN222" s="67" t="str">
        <f t="shared" si="13"/>
        <v>Glenford</v>
      </c>
      <c r="AO222" s="67" t="b">
        <f t="shared" si="14"/>
        <v>1</v>
      </c>
    </row>
    <row r="223" spans="1:41" s="67" customFormat="1" ht="12" customHeight="1" x14ac:dyDescent="0.2">
      <c r="A223" s="1" t="s">
        <v>734</v>
      </c>
      <c r="B223" s="1"/>
      <c r="C223" s="1" t="s">
        <v>382</v>
      </c>
      <c r="D223" s="1"/>
      <c r="E223" s="48">
        <v>17755</v>
      </c>
      <c r="F223" s="48"/>
      <c r="G223" s="48">
        <v>0</v>
      </c>
      <c r="H223" s="48"/>
      <c r="I223" s="48">
        <v>0</v>
      </c>
      <c r="J223" s="48"/>
      <c r="K223" s="48">
        <v>0</v>
      </c>
      <c r="L223" s="48"/>
      <c r="M223" s="48">
        <v>910</v>
      </c>
      <c r="N223" s="48"/>
      <c r="O223" s="48">
        <v>0</v>
      </c>
      <c r="P223" s="48"/>
      <c r="Q223" s="48">
        <v>15243</v>
      </c>
      <c r="R223" s="48"/>
      <c r="S223" s="48">
        <v>0</v>
      </c>
      <c r="T223" s="48"/>
      <c r="U223" s="48">
        <v>0</v>
      </c>
      <c r="V223" s="48"/>
      <c r="W223" s="48">
        <v>0</v>
      </c>
      <c r="X223" s="48"/>
      <c r="Y223" s="48">
        <v>0</v>
      </c>
      <c r="Z223" s="48"/>
      <c r="AA223" s="48">
        <v>0</v>
      </c>
      <c r="AB223" s="48"/>
      <c r="AC223" s="48">
        <v>0</v>
      </c>
      <c r="AD223" s="48"/>
      <c r="AE223" s="48">
        <f t="shared" si="12"/>
        <v>33908</v>
      </c>
      <c r="AF223" s="48"/>
      <c r="AG223" s="59"/>
      <c r="AH223" s="59"/>
      <c r="AI223" s="59"/>
      <c r="AJ223" s="59"/>
      <c r="AK223" s="59"/>
      <c r="AL223" s="8">
        <f>+'Gen Rev'!AI223-'Gen Exp'!AE223+'Gen Exp'!AI223-AK223</f>
        <v>2197</v>
      </c>
      <c r="AM223" s="21" t="str">
        <f>'Gen Rev'!A223</f>
        <v>Glenmont</v>
      </c>
      <c r="AN223" s="67" t="str">
        <f t="shared" si="13"/>
        <v>Glenmont</v>
      </c>
      <c r="AO223" s="67" t="b">
        <f t="shared" si="14"/>
        <v>1</v>
      </c>
    </row>
    <row r="224" spans="1:41" ht="12" customHeight="1" x14ac:dyDescent="0.2">
      <c r="A224" s="1" t="s">
        <v>47</v>
      </c>
      <c r="C224" s="1" t="s">
        <v>293</v>
      </c>
      <c r="E224" s="48">
        <v>1065344.0900000001</v>
      </c>
      <c r="F224" s="48"/>
      <c r="G224" s="48">
        <v>11472.18</v>
      </c>
      <c r="H224" s="48"/>
      <c r="I224" s="48">
        <v>0</v>
      </c>
      <c r="J224" s="48"/>
      <c r="K224" s="48">
        <v>166685.84</v>
      </c>
      <c r="L224" s="48"/>
      <c r="M224" s="48">
        <v>0</v>
      </c>
      <c r="N224" s="48"/>
      <c r="O224" s="48">
        <v>0</v>
      </c>
      <c r="P224" s="48"/>
      <c r="Q224" s="48">
        <v>1544588.19</v>
      </c>
      <c r="R224" s="48"/>
      <c r="S224" s="48">
        <v>0</v>
      </c>
      <c r="T224" s="48"/>
      <c r="U224" s="48">
        <v>0</v>
      </c>
      <c r="V224" s="48"/>
      <c r="W224" s="48">
        <v>0</v>
      </c>
      <c r="X224" s="48"/>
      <c r="Y224" s="48">
        <v>406600</v>
      </c>
      <c r="Z224" s="48"/>
      <c r="AA224" s="48">
        <v>584615.5</v>
      </c>
      <c r="AB224" s="48"/>
      <c r="AC224" s="48">
        <v>0</v>
      </c>
      <c r="AD224" s="48"/>
      <c r="AE224" s="48">
        <f t="shared" si="12"/>
        <v>3779305.8</v>
      </c>
      <c r="AG224" s="55">
        <v>-184443.39</v>
      </c>
      <c r="AI224" s="55">
        <v>1186674</v>
      </c>
      <c r="AK224" s="55">
        <v>1002230.61</v>
      </c>
      <c r="AL224" s="8">
        <f>+'Gen Rev'!AI224-'Gen Exp'!AE224+'Gen Exp'!AI224-AK224</f>
        <v>0</v>
      </c>
      <c r="AM224" s="21" t="str">
        <f>'Gen Rev'!A224</f>
        <v>Glenwillow</v>
      </c>
      <c r="AN224" s="67" t="str">
        <f t="shared" si="13"/>
        <v>Glenwillow</v>
      </c>
      <c r="AO224" s="67" t="b">
        <f t="shared" si="14"/>
        <v>1</v>
      </c>
    </row>
    <row r="225" spans="1:41" s="5" customFormat="1" ht="12" customHeight="1" x14ac:dyDescent="0.2">
      <c r="A225" s="1" t="s">
        <v>143</v>
      </c>
      <c r="B225" s="1"/>
      <c r="C225" s="1" t="s">
        <v>823</v>
      </c>
      <c r="D225" s="1"/>
      <c r="E225" s="48">
        <v>7669.47</v>
      </c>
      <c r="F225" s="48"/>
      <c r="G225" s="48">
        <v>5030</v>
      </c>
      <c r="H225" s="48"/>
      <c r="I225" s="48">
        <v>17696</v>
      </c>
      <c r="J225" s="48"/>
      <c r="K225" s="48">
        <v>3809.88</v>
      </c>
      <c r="L225" s="48"/>
      <c r="M225" s="48">
        <v>0</v>
      </c>
      <c r="N225" s="48"/>
      <c r="O225" s="48">
        <v>0</v>
      </c>
      <c r="P225" s="48"/>
      <c r="Q225" s="48">
        <v>48124.65</v>
      </c>
      <c r="R225" s="48"/>
      <c r="S225" s="48">
        <v>355.86</v>
      </c>
      <c r="T225" s="48"/>
      <c r="U225" s="48">
        <v>0</v>
      </c>
      <c r="V225" s="48"/>
      <c r="W225" s="48">
        <v>0</v>
      </c>
      <c r="X225" s="48"/>
      <c r="Y225" s="48">
        <v>0</v>
      </c>
      <c r="Z225" s="48"/>
      <c r="AA225" s="48">
        <v>0</v>
      </c>
      <c r="AB225" s="48"/>
      <c r="AC225" s="48">
        <v>0</v>
      </c>
      <c r="AD225" s="48"/>
      <c r="AE225" s="48">
        <f t="shared" si="12"/>
        <v>82685.86</v>
      </c>
      <c r="AF225" s="1"/>
      <c r="AG225" s="55">
        <v>-9571.83</v>
      </c>
      <c r="AH225" s="55"/>
      <c r="AI225" s="55">
        <v>157821.89000000001</v>
      </c>
      <c r="AJ225" s="55"/>
      <c r="AK225" s="55">
        <v>148250.06</v>
      </c>
      <c r="AL225" s="8">
        <f>+'Gen Rev'!AI225-'Gen Exp'!AE225+'Gen Exp'!AI225-AK225</f>
        <v>0</v>
      </c>
      <c r="AM225" s="21" t="str">
        <f>'Gen Rev'!A225</f>
        <v>Gloria Glens Park</v>
      </c>
      <c r="AN225" s="67" t="str">
        <f t="shared" si="13"/>
        <v>Gloria Glens Park</v>
      </c>
      <c r="AO225" s="67" t="b">
        <f t="shared" si="14"/>
        <v>1</v>
      </c>
    </row>
    <row r="226" spans="1:41" s="67" customFormat="1" ht="12" customHeight="1" x14ac:dyDescent="0.2">
      <c r="A226" s="1" t="s">
        <v>10</v>
      </c>
      <c r="B226" s="1"/>
      <c r="C226" s="1" t="s">
        <v>253</v>
      </c>
      <c r="D226" s="1"/>
      <c r="E226" s="48">
        <v>94659.18</v>
      </c>
      <c r="F226" s="48"/>
      <c r="G226" s="48">
        <v>0</v>
      </c>
      <c r="H226" s="48"/>
      <c r="I226" s="48">
        <v>44.8</v>
      </c>
      <c r="J226" s="48"/>
      <c r="K226" s="48">
        <v>0</v>
      </c>
      <c r="L226" s="48"/>
      <c r="M226" s="48">
        <v>0</v>
      </c>
      <c r="N226" s="48"/>
      <c r="O226" s="48">
        <v>0</v>
      </c>
      <c r="P226" s="48"/>
      <c r="Q226" s="48">
        <v>53592.45</v>
      </c>
      <c r="R226" s="48"/>
      <c r="S226" s="48">
        <v>0</v>
      </c>
      <c r="T226" s="48"/>
      <c r="U226" s="48">
        <v>37975.050000000003</v>
      </c>
      <c r="V226" s="48"/>
      <c r="W226" s="48">
        <v>0</v>
      </c>
      <c r="X226" s="48"/>
      <c r="Y226" s="48">
        <v>12000</v>
      </c>
      <c r="Z226" s="48"/>
      <c r="AA226" s="48">
        <v>20285.32</v>
      </c>
      <c r="AB226" s="48"/>
      <c r="AC226" s="48">
        <v>0</v>
      </c>
      <c r="AD226" s="48"/>
      <c r="AE226" s="48">
        <f t="shared" si="12"/>
        <v>218556.79999999999</v>
      </c>
      <c r="AF226" s="1"/>
      <c r="AG226" s="55">
        <v>38847.730000000003</v>
      </c>
      <c r="AH226" s="55"/>
      <c r="AI226" s="55">
        <v>78401.789999999994</v>
      </c>
      <c r="AJ226" s="55"/>
      <c r="AK226" s="55">
        <v>117249.52</v>
      </c>
      <c r="AL226" s="8">
        <f>+'Gen Rev'!AI226-'Gen Exp'!AE226+'Gen Exp'!AI226-AK226</f>
        <v>0</v>
      </c>
      <c r="AM226" s="21" t="str">
        <f>'Gen Rev'!A226</f>
        <v>Glouster</v>
      </c>
      <c r="AN226" s="67" t="str">
        <f t="shared" si="13"/>
        <v>Glouster</v>
      </c>
      <c r="AO226" s="67" t="b">
        <f t="shared" si="14"/>
        <v>1</v>
      </c>
    </row>
    <row r="227" spans="1:41" ht="12" customHeight="1" x14ac:dyDescent="0.2">
      <c r="A227" s="1" t="s">
        <v>524</v>
      </c>
      <c r="C227" s="1" t="s">
        <v>521</v>
      </c>
      <c r="E227" s="48">
        <v>38323</v>
      </c>
      <c r="F227" s="48"/>
      <c r="G227" s="48">
        <v>339</v>
      </c>
      <c r="H227" s="48"/>
      <c r="I227" s="48">
        <v>9606</v>
      </c>
      <c r="J227" s="48"/>
      <c r="K227" s="48">
        <v>924</v>
      </c>
      <c r="L227" s="48"/>
      <c r="M227" s="48">
        <v>212956</v>
      </c>
      <c r="N227" s="48"/>
      <c r="O227" s="48">
        <v>0</v>
      </c>
      <c r="P227" s="48"/>
      <c r="Q227" s="48">
        <v>58117</v>
      </c>
      <c r="R227" s="48"/>
      <c r="S227" s="48">
        <v>49520</v>
      </c>
      <c r="T227" s="48"/>
      <c r="U227" s="48">
        <v>23120</v>
      </c>
      <c r="V227" s="48"/>
      <c r="W227" s="48">
        <v>0</v>
      </c>
      <c r="X227" s="48"/>
      <c r="Y227" s="48">
        <v>10000</v>
      </c>
      <c r="Z227" s="48"/>
      <c r="AA227" s="48">
        <v>0</v>
      </c>
      <c r="AB227" s="48"/>
      <c r="AC227" s="48">
        <v>0</v>
      </c>
      <c r="AD227" s="48"/>
      <c r="AE227" s="48">
        <f t="shared" si="12"/>
        <v>402905</v>
      </c>
      <c r="AF227" s="48"/>
      <c r="AG227" s="59"/>
      <c r="AH227" s="59"/>
      <c r="AI227" s="59"/>
      <c r="AJ227" s="59"/>
      <c r="AK227" s="59"/>
      <c r="AL227" s="8">
        <f>+'Gen Rev'!AI227-'Gen Exp'!AE227+'Gen Exp'!AI227-AK227</f>
        <v>-33618</v>
      </c>
      <c r="AM227" s="21" t="str">
        <f>'Gen Rev'!A227</f>
        <v>Gnadenhutten</v>
      </c>
      <c r="AN227" s="67" t="str">
        <f t="shared" si="13"/>
        <v>Gnadenhutten</v>
      </c>
      <c r="AO227" s="67" t="b">
        <f t="shared" si="14"/>
        <v>1</v>
      </c>
    </row>
    <row r="228" spans="1:41" s="67" customFormat="1" ht="12" customHeight="1" x14ac:dyDescent="0.2">
      <c r="A228" s="1" t="s">
        <v>355</v>
      </c>
      <c r="B228" s="1"/>
      <c r="C228" s="1" t="s">
        <v>351</v>
      </c>
      <c r="D228" s="1"/>
      <c r="E228" s="48">
        <v>1219323</v>
      </c>
      <c r="F228" s="48"/>
      <c r="G228" s="48">
        <v>2620</v>
      </c>
      <c r="H228" s="48"/>
      <c r="I228" s="48">
        <v>0</v>
      </c>
      <c r="J228" s="48"/>
      <c r="K228" s="48">
        <v>22885</v>
      </c>
      <c r="L228" s="48"/>
      <c r="M228" s="48">
        <v>250921</v>
      </c>
      <c r="N228" s="48"/>
      <c r="O228" s="48">
        <v>0</v>
      </c>
      <c r="P228" s="48"/>
      <c r="Q228" s="48">
        <v>1101206</v>
      </c>
      <c r="R228" s="48"/>
      <c r="S228" s="48">
        <v>0</v>
      </c>
      <c r="T228" s="48"/>
      <c r="U228" s="48">
        <v>26684</v>
      </c>
      <c r="V228" s="48"/>
      <c r="W228" s="48">
        <v>1322</v>
      </c>
      <c r="X228" s="48"/>
      <c r="Y228" s="48">
        <v>0</v>
      </c>
      <c r="Z228" s="48"/>
      <c r="AA228" s="48">
        <v>0</v>
      </c>
      <c r="AB228" s="48"/>
      <c r="AC228" s="48">
        <v>0</v>
      </c>
      <c r="AD228" s="48"/>
      <c r="AE228" s="48">
        <f t="shared" si="12"/>
        <v>2624961</v>
      </c>
      <c r="AF228" s="48"/>
      <c r="AG228" s="59"/>
      <c r="AH228" s="59"/>
      <c r="AI228" s="59"/>
      <c r="AJ228" s="59"/>
      <c r="AK228" s="59"/>
      <c r="AL228" s="8">
        <f>+'Gen Rev'!AI228-'Gen Exp'!AE228+'Gen Exp'!AI228-AK228</f>
        <v>-664</v>
      </c>
      <c r="AM228" s="21" t="str">
        <f>'Gen Rev'!A228</f>
        <v>Golf Manor</v>
      </c>
      <c r="AN228" s="67" t="str">
        <f t="shared" si="13"/>
        <v>Golf Manor</v>
      </c>
      <c r="AO228" s="67" t="b">
        <f t="shared" si="14"/>
        <v>1</v>
      </c>
    </row>
    <row r="229" spans="1:41" s="67" customFormat="1" ht="12" customHeight="1" x14ac:dyDescent="0.2">
      <c r="A229" s="1" t="s">
        <v>308</v>
      </c>
      <c r="B229" s="1"/>
      <c r="C229" s="1" t="s">
        <v>306</v>
      </c>
      <c r="D229" s="1"/>
      <c r="E229" s="48">
        <v>7598.01</v>
      </c>
      <c r="F229" s="48"/>
      <c r="G229" s="48">
        <v>902.66</v>
      </c>
      <c r="H229" s="48"/>
      <c r="I229" s="48">
        <v>3643.71</v>
      </c>
      <c r="J229" s="48"/>
      <c r="K229" s="48">
        <v>0</v>
      </c>
      <c r="L229" s="48"/>
      <c r="M229" s="48">
        <v>10321.42</v>
      </c>
      <c r="N229" s="48"/>
      <c r="O229" s="48">
        <v>0</v>
      </c>
      <c r="P229" s="48"/>
      <c r="Q229" s="48">
        <v>11354.29</v>
      </c>
      <c r="R229" s="48"/>
      <c r="S229" s="48">
        <v>0</v>
      </c>
      <c r="T229" s="48"/>
      <c r="U229" s="48">
        <v>0</v>
      </c>
      <c r="V229" s="48"/>
      <c r="W229" s="48">
        <v>0</v>
      </c>
      <c r="X229" s="48"/>
      <c r="Y229" s="48">
        <v>0</v>
      </c>
      <c r="Z229" s="48"/>
      <c r="AA229" s="48">
        <v>0</v>
      </c>
      <c r="AB229" s="48"/>
      <c r="AC229" s="48">
        <v>463.11</v>
      </c>
      <c r="AD229" s="48"/>
      <c r="AE229" s="48">
        <f t="shared" si="12"/>
        <v>34283.200000000004</v>
      </c>
      <c r="AF229" s="1"/>
      <c r="AG229" s="55">
        <v>-8195.16</v>
      </c>
      <c r="AH229" s="55"/>
      <c r="AI229" s="55">
        <v>34415.25</v>
      </c>
      <c r="AJ229" s="55"/>
      <c r="AK229" s="55">
        <v>26220.09</v>
      </c>
      <c r="AL229" s="8">
        <f>+'Gen Rev'!AI229-'Gen Exp'!AE229+'Gen Exp'!AI229-AK229</f>
        <v>0</v>
      </c>
      <c r="AM229" s="21" t="str">
        <f>'Gen Rev'!A229</f>
        <v>Gordon</v>
      </c>
      <c r="AN229" s="67" t="str">
        <f t="shared" si="13"/>
        <v>Gordon</v>
      </c>
      <c r="AO229" s="67" t="b">
        <f t="shared" si="14"/>
        <v>1</v>
      </c>
    </row>
    <row r="230" spans="1:41" ht="12" customHeight="1" x14ac:dyDescent="0.2">
      <c r="A230" s="1" t="s">
        <v>418</v>
      </c>
      <c r="C230" s="1" t="s">
        <v>419</v>
      </c>
      <c r="E230" s="48">
        <v>645214</v>
      </c>
      <c r="F230" s="48"/>
      <c r="G230" s="48">
        <v>8368</v>
      </c>
      <c r="H230" s="48"/>
      <c r="I230" s="48">
        <v>8359</v>
      </c>
      <c r="J230" s="48"/>
      <c r="K230" s="48">
        <v>2843</v>
      </c>
      <c r="L230" s="48"/>
      <c r="M230" s="48">
        <v>191572</v>
      </c>
      <c r="N230" s="48"/>
      <c r="O230" s="48">
        <v>0</v>
      </c>
      <c r="P230" s="48"/>
      <c r="Q230" s="48">
        <v>577152</v>
      </c>
      <c r="R230" s="48"/>
      <c r="S230" s="48">
        <v>0</v>
      </c>
      <c r="T230" s="48"/>
      <c r="U230" s="48">
        <v>0</v>
      </c>
      <c r="V230" s="48"/>
      <c r="W230" s="48">
        <v>0</v>
      </c>
      <c r="X230" s="48"/>
      <c r="Y230" s="48">
        <v>128621</v>
      </c>
      <c r="Z230" s="48"/>
      <c r="AA230" s="48">
        <v>0</v>
      </c>
      <c r="AB230" s="48"/>
      <c r="AC230" s="48">
        <v>0</v>
      </c>
      <c r="AD230" s="48"/>
      <c r="AE230" s="48">
        <f t="shared" si="12"/>
        <v>1562129</v>
      </c>
      <c r="AF230" s="48"/>
      <c r="AG230" s="59"/>
      <c r="AH230" s="59"/>
      <c r="AI230" s="59"/>
      <c r="AJ230" s="59"/>
      <c r="AK230" s="59"/>
      <c r="AL230" s="8">
        <f>+'Gen Rev'!AI230-'Gen Exp'!AE230+'Gen Exp'!AI230-AK230</f>
        <v>148972</v>
      </c>
      <c r="AM230" s="21" t="str">
        <f>'Gen Rev'!A230</f>
        <v>Grafton</v>
      </c>
      <c r="AN230" s="67" t="str">
        <f t="shared" si="13"/>
        <v>Grafton</v>
      </c>
      <c r="AO230" s="67" t="b">
        <f t="shared" si="14"/>
        <v>1</v>
      </c>
    </row>
    <row r="231" spans="1:41" ht="12" customHeight="1" x14ac:dyDescent="0.2">
      <c r="A231" s="1" t="s">
        <v>237</v>
      </c>
      <c r="C231" s="1" t="s">
        <v>558</v>
      </c>
      <c r="E231" s="48">
        <v>83308.08</v>
      </c>
      <c r="F231" s="48"/>
      <c r="G231" s="48">
        <v>811.2</v>
      </c>
      <c r="H231" s="48"/>
      <c r="I231" s="48">
        <v>70012.960000000006</v>
      </c>
      <c r="J231" s="48"/>
      <c r="K231" s="48">
        <v>2915.82</v>
      </c>
      <c r="L231" s="48"/>
      <c r="M231" s="48">
        <v>9909.07</v>
      </c>
      <c r="N231" s="48"/>
      <c r="O231" s="48">
        <v>1451.5</v>
      </c>
      <c r="P231" s="48"/>
      <c r="Q231" s="48">
        <v>111592.1</v>
      </c>
      <c r="R231" s="48"/>
      <c r="S231" s="48">
        <v>1120</v>
      </c>
      <c r="T231" s="48"/>
      <c r="U231" s="48">
        <v>0</v>
      </c>
      <c r="V231" s="48"/>
      <c r="W231" s="48">
        <v>0</v>
      </c>
      <c r="X231" s="48"/>
      <c r="Y231" s="48">
        <v>10593.72</v>
      </c>
      <c r="Z231" s="48"/>
      <c r="AA231" s="48">
        <v>0</v>
      </c>
      <c r="AB231" s="48"/>
      <c r="AC231" s="48">
        <v>10000</v>
      </c>
      <c r="AD231" s="48"/>
      <c r="AE231" s="48">
        <f t="shared" si="12"/>
        <v>301714.44999999995</v>
      </c>
      <c r="AG231" s="55">
        <v>-5321.37</v>
      </c>
      <c r="AI231" s="55">
        <v>528907.56999999995</v>
      </c>
      <c r="AK231" s="55">
        <v>523586.2</v>
      </c>
      <c r="AL231" s="8">
        <f>+'Gen Rev'!AI231-'Gen Exp'!AE231+'Gen Exp'!AI231-AK231</f>
        <v>0</v>
      </c>
      <c r="AM231" s="21" t="str">
        <f>'Gen Rev'!A231</f>
        <v>Grand Rapids</v>
      </c>
      <c r="AN231" s="67" t="str">
        <f t="shared" si="13"/>
        <v>Grand Rapids</v>
      </c>
      <c r="AO231" s="67" t="b">
        <f t="shared" si="14"/>
        <v>1</v>
      </c>
    </row>
    <row r="232" spans="1:41" s="6" customFormat="1" ht="12" customHeight="1" x14ac:dyDescent="0.2">
      <c r="A232" s="1" t="s">
        <v>400</v>
      </c>
      <c r="B232" s="1"/>
      <c r="C232" s="1" t="s">
        <v>399</v>
      </c>
      <c r="D232" s="1"/>
      <c r="E232" s="48">
        <v>351364</v>
      </c>
      <c r="F232" s="48"/>
      <c r="G232" s="48">
        <v>3835</v>
      </c>
      <c r="H232" s="48"/>
      <c r="I232" s="48">
        <v>1355</v>
      </c>
      <c r="J232" s="48"/>
      <c r="K232" s="48">
        <v>5560</v>
      </c>
      <c r="L232" s="48"/>
      <c r="M232" s="48">
        <v>0</v>
      </c>
      <c r="N232" s="48"/>
      <c r="O232" s="48">
        <v>16529</v>
      </c>
      <c r="P232" s="48"/>
      <c r="Q232" s="48">
        <v>124659</v>
      </c>
      <c r="R232" s="48"/>
      <c r="S232" s="48">
        <v>0</v>
      </c>
      <c r="T232" s="48"/>
      <c r="U232" s="48">
        <v>0</v>
      </c>
      <c r="V232" s="48"/>
      <c r="W232" s="48">
        <v>0</v>
      </c>
      <c r="X232" s="48"/>
      <c r="Y232" s="48">
        <v>17652</v>
      </c>
      <c r="Z232" s="48"/>
      <c r="AA232" s="48">
        <v>0</v>
      </c>
      <c r="AB232" s="48"/>
      <c r="AC232" s="48">
        <v>0</v>
      </c>
      <c r="AD232" s="48"/>
      <c r="AE232" s="48">
        <f t="shared" si="12"/>
        <v>520954</v>
      </c>
      <c r="AF232" s="48"/>
      <c r="AG232" s="59"/>
      <c r="AH232" s="59"/>
      <c r="AI232" s="59"/>
      <c r="AJ232" s="59"/>
      <c r="AK232" s="59"/>
      <c r="AL232" s="8">
        <f>+'Gen Rev'!AI232-'Gen Exp'!AE232+'Gen Exp'!AI232-AK232</f>
        <v>-68598</v>
      </c>
      <c r="AM232" s="21" t="str">
        <f>'Gen Rev'!A232</f>
        <v>Grand River</v>
      </c>
      <c r="AN232" s="67" t="str">
        <f t="shared" si="13"/>
        <v>Grand River</v>
      </c>
      <c r="AO232" s="67" t="b">
        <f t="shared" si="14"/>
        <v>1</v>
      </c>
    </row>
    <row r="233" spans="1:41" ht="12" customHeight="1" x14ac:dyDescent="0.2">
      <c r="A233" s="1" t="s">
        <v>407</v>
      </c>
      <c r="C233" s="1" t="s">
        <v>408</v>
      </c>
      <c r="E233" s="48">
        <v>1210059</v>
      </c>
      <c r="F233" s="48"/>
      <c r="G233" s="48">
        <v>26941</v>
      </c>
      <c r="H233" s="48"/>
      <c r="I233" s="48">
        <v>87422</v>
      </c>
      <c r="J233" s="48"/>
      <c r="K233" s="48">
        <v>0</v>
      </c>
      <c r="L233" s="48"/>
      <c r="M233" s="48">
        <v>0</v>
      </c>
      <c r="N233" s="48"/>
      <c r="O233" s="48">
        <v>998667</v>
      </c>
      <c r="P233" s="48"/>
      <c r="Q233" s="48">
        <v>1133574</v>
      </c>
      <c r="R233" s="48"/>
      <c r="S233" s="48">
        <v>0</v>
      </c>
      <c r="T233" s="48"/>
      <c r="U233" s="48">
        <v>0</v>
      </c>
      <c r="V233" s="48"/>
      <c r="W233" s="48">
        <v>0</v>
      </c>
      <c r="X233" s="48"/>
      <c r="Y233" s="48">
        <v>492345</v>
      </c>
      <c r="Z233" s="48"/>
      <c r="AA233" s="48">
        <v>0</v>
      </c>
      <c r="AB233" s="48"/>
      <c r="AC233" s="48">
        <v>0</v>
      </c>
      <c r="AD233" s="48"/>
      <c r="AE233" s="48">
        <f t="shared" si="12"/>
        <v>3949008</v>
      </c>
      <c r="AF233" s="48"/>
      <c r="AG233" s="59"/>
      <c r="AH233" s="59"/>
      <c r="AI233" s="59"/>
      <c r="AJ233" s="59"/>
      <c r="AK233" s="59"/>
      <c r="AL233" s="8">
        <f>+'Gen Rev'!AI233-'Gen Exp'!AE233+'Gen Exp'!AI233-AK233</f>
        <v>265457</v>
      </c>
      <c r="AM233" s="21" t="str">
        <f>'Gen Rev'!A233</f>
        <v>Granville</v>
      </c>
      <c r="AN233" s="67" t="str">
        <f t="shared" si="13"/>
        <v>Granville</v>
      </c>
      <c r="AO233" s="67" t="b">
        <f t="shared" si="14"/>
        <v>1</v>
      </c>
    </row>
    <row r="234" spans="1:41" s="67" customFormat="1" ht="12" customHeight="1" x14ac:dyDescent="0.2">
      <c r="A234" s="1" t="s">
        <v>409</v>
      </c>
      <c r="B234" s="1"/>
      <c r="C234" s="1" t="s">
        <v>408</v>
      </c>
      <c r="D234" s="1"/>
      <c r="E234" s="48">
        <v>5243</v>
      </c>
      <c r="F234" s="48"/>
      <c r="G234" s="48">
        <v>263</v>
      </c>
      <c r="H234" s="48"/>
      <c r="I234" s="48">
        <v>0</v>
      </c>
      <c r="J234" s="48"/>
      <c r="K234" s="48">
        <v>0</v>
      </c>
      <c r="L234" s="48"/>
      <c r="M234" s="48">
        <v>2018</v>
      </c>
      <c r="N234" s="48"/>
      <c r="O234" s="48">
        <v>0</v>
      </c>
      <c r="P234" s="48"/>
      <c r="Q234" s="48">
        <v>11848</v>
      </c>
      <c r="R234" s="48"/>
      <c r="S234" s="48">
        <v>0</v>
      </c>
      <c r="T234" s="48"/>
      <c r="U234" s="48">
        <v>0</v>
      </c>
      <c r="V234" s="48"/>
      <c r="W234" s="48">
        <v>0</v>
      </c>
      <c r="X234" s="48"/>
      <c r="Y234" s="48">
        <v>0</v>
      </c>
      <c r="Z234" s="48"/>
      <c r="AA234" s="48">
        <v>0</v>
      </c>
      <c r="AB234" s="48"/>
      <c r="AC234" s="48">
        <v>0</v>
      </c>
      <c r="AD234" s="48"/>
      <c r="AE234" s="48">
        <f t="shared" si="12"/>
        <v>19372</v>
      </c>
      <c r="AF234" s="48"/>
      <c r="AG234" s="59"/>
      <c r="AH234" s="59"/>
      <c r="AI234" s="59"/>
      <c r="AJ234" s="59"/>
      <c r="AK234" s="59"/>
      <c r="AL234" s="8">
        <f>+'Gen Rev'!AI234-'Gen Exp'!AE234+'Gen Exp'!AI234-AK234</f>
        <v>-5333</v>
      </c>
      <c r="AM234" s="21" t="str">
        <f>'Gen Rev'!A234</f>
        <v>Gratiot</v>
      </c>
      <c r="AN234" s="67" t="str">
        <f t="shared" si="13"/>
        <v>Gratiot</v>
      </c>
      <c r="AO234" s="67" t="b">
        <f t="shared" si="14"/>
        <v>1</v>
      </c>
    </row>
    <row r="235" spans="1:41" ht="12" customHeight="1" x14ac:dyDescent="0.2">
      <c r="A235" s="1" t="s">
        <v>186</v>
      </c>
      <c r="C235" s="1" t="s">
        <v>472</v>
      </c>
      <c r="E235" s="48">
        <v>59447.88</v>
      </c>
      <c r="F235" s="48"/>
      <c r="G235" s="48">
        <v>0</v>
      </c>
      <c r="H235" s="48"/>
      <c r="I235" s="48">
        <v>0</v>
      </c>
      <c r="J235" s="48"/>
      <c r="K235" s="48">
        <v>0</v>
      </c>
      <c r="L235" s="48"/>
      <c r="M235" s="48">
        <v>0</v>
      </c>
      <c r="N235" s="48"/>
      <c r="O235" s="48">
        <v>0</v>
      </c>
      <c r="P235" s="48"/>
      <c r="Q235" s="48">
        <v>48062.06</v>
      </c>
      <c r="R235" s="48"/>
      <c r="S235" s="48">
        <v>0</v>
      </c>
      <c r="T235" s="48"/>
      <c r="U235" s="48">
        <v>0</v>
      </c>
      <c r="V235" s="48"/>
      <c r="W235" s="48">
        <v>0</v>
      </c>
      <c r="X235" s="48"/>
      <c r="Y235" s="48">
        <v>0</v>
      </c>
      <c r="Z235" s="48"/>
      <c r="AA235" s="48">
        <v>0</v>
      </c>
      <c r="AB235" s="48"/>
      <c r="AC235" s="48">
        <v>215.92</v>
      </c>
      <c r="AD235" s="48"/>
      <c r="AE235" s="48">
        <f t="shared" si="12"/>
        <v>107725.86</v>
      </c>
      <c r="AG235" s="55">
        <v>-5708.23</v>
      </c>
      <c r="AI235" s="55">
        <v>-15438.56</v>
      </c>
      <c r="AK235" s="55">
        <v>-21146.79</v>
      </c>
      <c r="AL235" s="8">
        <f>+'Gen Rev'!AI235-'Gen Exp'!AE235+'Gen Exp'!AI235-AK235</f>
        <v>0</v>
      </c>
      <c r="AM235" s="21" t="str">
        <f>'Gen Rev'!A235</f>
        <v>Gratis</v>
      </c>
      <c r="AN235" s="67" t="str">
        <f t="shared" si="13"/>
        <v>Gratis</v>
      </c>
      <c r="AO235" s="67" t="b">
        <f t="shared" si="14"/>
        <v>1</v>
      </c>
    </row>
    <row r="236" spans="1:41" ht="12" customHeight="1" x14ac:dyDescent="0.2">
      <c r="A236" s="1" t="s">
        <v>442</v>
      </c>
      <c r="C236" s="1" t="s">
        <v>441</v>
      </c>
      <c r="E236" s="48">
        <v>1588</v>
      </c>
      <c r="F236" s="48"/>
      <c r="G236" s="48">
        <v>1301</v>
      </c>
      <c r="H236" s="48"/>
      <c r="I236" s="48">
        <v>0</v>
      </c>
      <c r="J236" s="48"/>
      <c r="K236" s="48">
        <v>0</v>
      </c>
      <c r="L236" s="48"/>
      <c r="M236" s="48">
        <v>0</v>
      </c>
      <c r="N236" s="48"/>
      <c r="O236" s="48">
        <v>0</v>
      </c>
      <c r="P236" s="48"/>
      <c r="Q236" s="48">
        <v>3620</v>
      </c>
      <c r="R236" s="48"/>
      <c r="S236" s="48">
        <v>0</v>
      </c>
      <c r="T236" s="48"/>
      <c r="U236" s="48">
        <v>0</v>
      </c>
      <c r="V236" s="48"/>
      <c r="W236" s="48">
        <v>0</v>
      </c>
      <c r="X236" s="48"/>
      <c r="Y236" s="48">
        <v>0</v>
      </c>
      <c r="Z236" s="48"/>
      <c r="AA236" s="48">
        <v>0</v>
      </c>
      <c r="AB236" s="48"/>
      <c r="AC236" s="48">
        <v>0</v>
      </c>
      <c r="AD236" s="48"/>
      <c r="AE236" s="48">
        <f t="shared" si="12"/>
        <v>6509</v>
      </c>
      <c r="AF236" s="48"/>
      <c r="AG236" s="59"/>
      <c r="AH236" s="59"/>
      <c r="AI236" s="59"/>
      <c r="AJ236" s="59"/>
      <c r="AK236" s="59"/>
      <c r="AL236" s="8">
        <f>+'Gen Rev'!AI236-'Gen Exp'!AE236+'Gen Exp'!AI236-AK236</f>
        <v>1581</v>
      </c>
      <c r="AM236" s="21" t="str">
        <f>'Gen Rev'!A236</f>
        <v>Graysville</v>
      </c>
      <c r="AN236" s="67" t="str">
        <f t="shared" si="13"/>
        <v>Graysville</v>
      </c>
      <c r="AO236" s="67" t="b">
        <f t="shared" si="14"/>
        <v>1</v>
      </c>
    </row>
    <row r="237" spans="1:41" ht="12" customHeight="1" x14ac:dyDescent="0.2">
      <c r="A237" s="1" t="s">
        <v>138</v>
      </c>
      <c r="C237" s="1" t="s">
        <v>430</v>
      </c>
      <c r="E237" s="48">
        <v>1470.92</v>
      </c>
      <c r="F237" s="48"/>
      <c r="G237" s="48">
        <v>1212.42</v>
      </c>
      <c r="H237" s="48"/>
      <c r="I237" s="48">
        <v>989.37</v>
      </c>
      <c r="J237" s="48"/>
      <c r="K237" s="48">
        <v>903.1</v>
      </c>
      <c r="L237" s="48"/>
      <c r="M237" s="48">
        <v>16073.62</v>
      </c>
      <c r="N237" s="48"/>
      <c r="O237" s="48">
        <v>0</v>
      </c>
      <c r="P237" s="48"/>
      <c r="Q237" s="48">
        <v>29196.58</v>
      </c>
      <c r="R237" s="48"/>
      <c r="S237" s="48">
        <v>0</v>
      </c>
      <c r="T237" s="48"/>
      <c r="U237" s="48">
        <v>0</v>
      </c>
      <c r="V237" s="48"/>
      <c r="W237" s="48">
        <v>0</v>
      </c>
      <c r="X237" s="48"/>
      <c r="Y237" s="48">
        <v>0</v>
      </c>
      <c r="Z237" s="48"/>
      <c r="AA237" s="48">
        <v>0</v>
      </c>
      <c r="AB237" s="48"/>
      <c r="AC237" s="48">
        <v>9026.5</v>
      </c>
      <c r="AD237" s="48"/>
      <c r="AE237" s="48">
        <f t="shared" si="12"/>
        <v>58872.51</v>
      </c>
      <c r="AG237" s="55">
        <v>-19656.11</v>
      </c>
      <c r="AI237" s="55">
        <v>40484.14</v>
      </c>
      <c r="AK237" s="55">
        <v>20828.03</v>
      </c>
      <c r="AL237" s="8">
        <f>+'Gen Rev'!AI237-'Gen Exp'!AE237+'Gen Exp'!AI237-AK237</f>
        <v>0</v>
      </c>
      <c r="AM237" s="21" t="str">
        <f>'Gen Rev'!A237</f>
        <v>Green Camp</v>
      </c>
      <c r="AN237" s="67" t="str">
        <f t="shared" si="13"/>
        <v>Green Camp</v>
      </c>
      <c r="AO237" s="67" t="b">
        <f t="shared" si="14"/>
        <v>1</v>
      </c>
    </row>
    <row r="238" spans="1:41" ht="12" customHeight="1" x14ac:dyDescent="0.2">
      <c r="A238" s="1" t="s">
        <v>204</v>
      </c>
      <c r="C238" s="1" t="s">
        <v>494</v>
      </c>
      <c r="E238" s="48">
        <v>59234.81</v>
      </c>
      <c r="F238" s="48"/>
      <c r="G238" s="48">
        <v>12435.06</v>
      </c>
      <c r="H238" s="48"/>
      <c r="I238" s="48">
        <v>36236.629999999997</v>
      </c>
      <c r="J238" s="48"/>
      <c r="K238" s="48">
        <v>2041.3</v>
      </c>
      <c r="L238" s="48"/>
      <c r="M238" s="48">
        <v>0</v>
      </c>
      <c r="N238" s="48"/>
      <c r="O238" s="48">
        <v>35254.18</v>
      </c>
      <c r="P238" s="48"/>
      <c r="Q238" s="48">
        <v>146407.29999999999</v>
      </c>
      <c r="R238" s="48"/>
      <c r="S238" s="48">
        <v>13648</v>
      </c>
      <c r="T238" s="48"/>
      <c r="U238" s="48">
        <v>0</v>
      </c>
      <c r="V238" s="48"/>
      <c r="W238" s="48">
        <v>0</v>
      </c>
      <c r="X238" s="48"/>
      <c r="Y238" s="48">
        <v>95000</v>
      </c>
      <c r="Z238" s="48"/>
      <c r="AA238" s="48">
        <v>0</v>
      </c>
      <c r="AB238" s="48"/>
      <c r="AC238" s="48">
        <v>0</v>
      </c>
      <c r="AD238" s="48"/>
      <c r="AE238" s="48">
        <f t="shared" si="12"/>
        <v>400257.28000000003</v>
      </c>
      <c r="AG238" s="55">
        <v>196279.17</v>
      </c>
      <c r="AI238" s="55">
        <v>538017.67000000004</v>
      </c>
      <c r="AK238" s="55">
        <v>734296.84</v>
      </c>
      <c r="AL238" s="8">
        <f>+'Gen Rev'!AI238-'Gen Exp'!AE238+'Gen Exp'!AI238-AK238</f>
        <v>0</v>
      </c>
      <c r="AM238" s="21" t="str">
        <f>'Gen Rev'!A238</f>
        <v>Green Springs</v>
      </c>
      <c r="AN238" s="67" t="str">
        <f t="shared" si="13"/>
        <v>Green Springs</v>
      </c>
      <c r="AO238" s="67" t="b">
        <f t="shared" si="14"/>
        <v>1</v>
      </c>
    </row>
    <row r="239" spans="1:41" s="67" customFormat="1" ht="12" customHeight="1" x14ac:dyDescent="0.2">
      <c r="A239" s="1" t="s">
        <v>820</v>
      </c>
      <c r="B239" s="1"/>
      <c r="C239" s="1" t="s">
        <v>379</v>
      </c>
      <c r="D239" s="69"/>
      <c r="E239" s="48">
        <v>834469</v>
      </c>
      <c r="F239" s="48"/>
      <c r="G239" s="48">
        <v>7481</v>
      </c>
      <c r="H239" s="48"/>
      <c r="I239" s="48">
        <v>0</v>
      </c>
      <c r="J239" s="48"/>
      <c r="K239" s="48">
        <v>0</v>
      </c>
      <c r="L239" s="48"/>
      <c r="M239" s="48">
        <v>52604</v>
      </c>
      <c r="N239" s="48"/>
      <c r="O239" s="48">
        <v>0</v>
      </c>
      <c r="P239" s="48"/>
      <c r="Q239" s="48">
        <v>334348</v>
      </c>
      <c r="R239" s="48"/>
      <c r="S239" s="48">
        <v>127623</v>
      </c>
      <c r="T239" s="48"/>
      <c r="U239" s="48">
        <v>5000</v>
      </c>
      <c r="V239" s="48"/>
      <c r="W239" s="48">
        <v>438</v>
      </c>
      <c r="X239" s="48"/>
      <c r="Y239" s="48">
        <v>26830</v>
      </c>
      <c r="Z239" s="48"/>
      <c r="AA239" s="48">
        <v>0</v>
      </c>
      <c r="AB239" s="48"/>
      <c r="AC239" s="48">
        <v>0</v>
      </c>
      <c r="AD239" s="48"/>
      <c r="AE239" s="48">
        <f t="shared" ref="AE239:AE277" si="15">SUM(E239:AC239)</f>
        <v>1388793</v>
      </c>
      <c r="AF239" s="48"/>
      <c r="AG239" s="59"/>
      <c r="AH239" s="59"/>
      <c r="AI239" s="59"/>
      <c r="AJ239" s="59"/>
      <c r="AK239" s="59"/>
      <c r="AL239" s="8">
        <f>+'Gen Rev'!AI239-'Gen Exp'!AE239+'Gen Exp'!AI239-AK239</f>
        <v>136778</v>
      </c>
      <c r="AM239" s="21" t="str">
        <f>'Gen Rev'!A239</f>
        <v>Greenfield</v>
      </c>
      <c r="AN239" s="67" t="str">
        <f t="shared" si="13"/>
        <v>Greenfield</v>
      </c>
      <c r="AO239" s="67" t="b">
        <f t="shared" si="14"/>
        <v>1</v>
      </c>
    </row>
    <row r="240" spans="1:41" ht="12" customHeight="1" x14ac:dyDescent="0.2">
      <c r="A240" s="1" t="s">
        <v>89</v>
      </c>
      <c r="C240" s="1" t="s">
        <v>351</v>
      </c>
      <c r="E240" s="48">
        <v>204687.84</v>
      </c>
      <c r="F240" s="48"/>
      <c r="G240" s="48">
        <v>0</v>
      </c>
      <c r="H240" s="48"/>
      <c r="I240" s="48">
        <v>0</v>
      </c>
      <c r="J240" s="48"/>
      <c r="K240" s="48">
        <v>68294.16</v>
      </c>
      <c r="L240" s="48"/>
      <c r="M240" s="48">
        <v>214380.36</v>
      </c>
      <c r="N240" s="48"/>
      <c r="O240" s="48">
        <v>0</v>
      </c>
      <c r="P240" s="48"/>
      <c r="Q240" s="48">
        <v>909721.78</v>
      </c>
      <c r="R240" s="48"/>
      <c r="S240" s="48">
        <v>0</v>
      </c>
      <c r="T240" s="48"/>
      <c r="U240" s="48">
        <v>0</v>
      </c>
      <c r="V240" s="48"/>
      <c r="W240" s="48">
        <v>0</v>
      </c>
      <c r="X240" s="48"/>
      <c r="Y240" s="48">
        <v>291500</v>
      </c>
      <c r="Z240" s="48"/>
      <c r="AA240" s="48">
        <v>0</v>
      </c>
      <c r="AB240" s="48"/>
      <c r="AC240" s="48">
        <v>0</v>
      </c>
      <c r="AD240" s="48"/>
      <c r="AE240" s="48">
        <f t="shared" si="15"/>
        <v>1688584.1400000001</v>
      </c>
      <c r="AG240" s="55">
        <v>337838.98</v>
      </c>
      <c r="AI240" s="55">
        <v>982208.94</v>
      </c>
      <c r="AK240" s="55">
        <v>1320047.92</v>
      </c>
      <c r="AL240" s="8">
        <f>+'Gen Rev'!AI240-'Gen Exp'!AE240+'Gen Exp'!AI240-AK240</f>
        <v>0</v>
      </c>
      <c r="AM240" s="21" t="str">
        <f>'Gen Rev'!A240</f>
        <v>Greenhills</v>
      </c>
      <c r="AN240" s="67" t="str">
        <f t="shared" si="13"/>
        <v>Greenhills</v>
      </c>
      <c r="AO240" s="67" t="b">
        <f t="shared" si="14"/>
        <v>1</v>
      </c>
    </row>
    <row r="241" spans="1:41" ht="12" customHeight="1" x14ac:dyDescent="0.2">
      <c r="A241" s="1" t="s">
        <v>108</v>
      </c>
      <c r="C241" s="1" t="s">
        <v>386</v>
      </c>
      <c r="E241" s="48">
        <v>306562.11</v>
      </c>
      <c r="F241" s="48"/>
      <c r="G241" s="48">
        <v>2853.77</v>
      </c>
      <c r="H241" s="48"/>
      <c r="I241" s="48">
        <v>1008.25</v>
      </c>
      <c r="J241" s="48"/>
      <c r="K241" s="48">
        <v>0</v>
      </c>
      <c r="L241" s="48"/>
      <c r="M241" s="48">
        <v>0</v>
      </c>
      <c r="N241" s="48"/>
      <c r="O241" s="48">
        <v>0</v>
      </c>
      <c r="P241" s="48"/>
      <c r="Q241" s="48">
        <v>147118.98000000001</v>
      </c>
      <c r="R241" s="48"/>
      <c r="S241" s="48">
        <v>0</v>
      </c>
      <c r="T241" s="48"/>
      <c r="U241" s="48">
        <v>0</v>
      </c>
      <c r="V241" s="48"/>
      <c r="W241" s="48">
        <v>0</v>
      </c>
      <c r="X241" s="48"/>
      <c r="Y241" s="48">
        <v>0</v>
      </c>
      <c r="Z241" s="48"/>
      <c r="AA241" s="48">
        <v>0</v>
      </c>
      <c r="AB241" s="48"/>
      <c r="AC241" s="48">
        <v>0</v>
      </c>
      <c r="AD241" s="48"/>
      <c r="AE241" s="48">
        <f t="shared" si="15"/>
        <v>457543.11</v>
      </c>
      <c r="AG241" s="55">
        <v>-51133.46</v>
      </c>
      <c r="AI241" s="55">
        <v>236976.8</v>
      </c>
      <c r="AK241" s="55">
        <v>185843.34</v>
      </c>
      <c r="AL241" s="8">
        <f>+'Gen Rev'!AI241-'Gen Exp'!AE241+'Gen Exp'!AI241-AK241</f>
        <v>0</v>
      </c>
      <c r="AM241" s="21" t="str">
        <f>'Gen Rev'!A241</f>
        <v>Greenwich</v>
      </c>
      <c r="AN241" s="67" t="str">
        <f t="shared" si="13"/>
        <v>Greenwich</v>
      </c>
      <c r="AO241" s="67" t="b">
        <f t="shared" si="14"/>
        <v>1</v>
      </c>
    </row>
    <row r="242" spans="1:41" ht="12" customHeight="1" x14ac:dyDescent="0.2">
      <c r="A242" s="1" t="s">
        <v>636</v>
      </c>
      <c r="C242" s="1" t="s">
        <v>460</v>
      </c>
      <c r="E242" s="48">
        <v>6348</v>
      </c>
      <c r="F242" s="48"/>
      <c r="G242" s="48">
        <v>86</v>
      </c>
      <c r="H242" s="48"/>
      <c r="I242" s="48">
        <v>0</v>
      </c>
      <c r="J242" s="48"/>
      <c r="K242" s="48">
        <v>0</v>
      </c>
      <c r="L242" s="48"/>
      <c r="M242" s="48">
        <v>283</v>
      </c>
      <c r="N242" s="48"/>
      <c r="O242" s="48">
        <v>130</v>
      </c>
      <c r="P242" s="48"/>
      <c r="Q242" s="48">
        <v>31902</v>
      </c>
      <c r="R242" s="48"/>
      <c r="S242" s="48">
        <v>0</v>
      </c>
      <c r="T242" s="48"/>
      <c r="U242" s="48">
        <v>0</v>
      </c>
      <c r="V242" s="48"/>
      <c r="W242" s="48">
        <v>0</v>
      </c>
      <c r="X242" s="48"/>
      <c r="Y242" s="48">
        <v>0</v>
      </c>
      <c r="Z242" s="48"/>
      <c r="AA242" s="48">
        <v>0</v>
      </c>
      <c r="AB242" s="48"/>
      <c r="AC242" s="48">
        <v>0</v>
      </c>
      <c r="AD242" s="48"/>
      <c r="AE242" s="48">
        <f t="shared" si="15"/>
        <v>38749</v>
      </c>
      <c r="AF242" s="48"/>
      <c r="AG242" s="59"/>
      <c r="AH242" s="59"/>
      <c r="AI242" s="59"/>
      <c r="AJ242" s="59"/>
      <c r="AK242" s="59"/>
      <c r="AL242" s="8">
        <f>+'Gen Rev'!AI242-'Gen Exp'!AE242+'Gen Exp'!AI242-AK242</f>
        <v>1687</v>
      </c>
      <c r="AM242" s="21" t="str">
        <f>'Gen Rev'!A242</f>
        <v>Grower Hill</v>
      </c>
      <c r="AN242" s="67" t="str">
        <f t="shared" si="13"/>
        <v>Grower Hill</v>
      </c>
      <c r="AO242" s="67" t="b">
        <f t="shared" si="14"/>
        <v>1</v>
      </c>
    </row>
    <row r="243" spans="1:41" s="67" customFormat="1" ht="12" customHeight="1" x14ac:dyDescent="0.2">
      <c r="A243" s="1" t="s">
        <v>339</v>
      </c>
      <c r="B243" s="1"/>
      <c r="C243" s="1" t="s">
        <v>77</v>
      </c>
      <c r="D243" s="1"/>
      <c r="E243" s="48">
        <v>44804</v>
      </c>
      <c r="F243" s="48"/>
      <c r="G243" s="48">
        <v>167.94</v>
      </c>
      <c r="H243" s="48"/>
      <c r="I243" s="48">
        <v>0</v>
      </c>
      <c r="J243" s="48"/>
      <c r="K243" s="48">
        <v>0</v>
      </c>
      <c r="L243" s="48"/>
      <c r="M243" s="48">
        <v>0</v>
      </c>
      <c r="N243" s="48"/>
      <c r="O243" s="48">
        <v>0</v>
      </c>
      <c r="P243" s="48"/>
      <c r="Q243" s="48">
        <v>51810.96</v>
      </c>
      <c r="R243" s="48"/>
      <c r="S243" s="48">
        <v>29378</v>
      </c>
      <c r="T243" s="48"/>
      <c r="U243" s="48">
        <v>0</v>
      </c>
      <c r="V243" s="48"/>
      <c r="W243" s="48">
        <v>0</v>
      </c>
      <c r="X243" s="48"/>
      <c r="Y243" s="48">
        <v>0</v>
      </c>
      <c r="Z243" s="48"/>
      <c r="AA243" s="48">
        <v>0</v>
      </c>
      <c r="AB243" s="48"/>
      <c r="AC243" s="48">
        <v>0</v>
      </c>
      <c r="AD243" s="48"/>
      <c r="AE243" s="48">
        <f t="shared" si="15"/>
        <v>126160.9</v>
      </c>
      <c r="AF243" s="1"/>
      <c r="AG243" s="55">
        <v>-10193.75</v>
      </c>
      <c r="AH243" s="55"/>
      <c r="AI243" s="55">
        <v>166533.26</v>
      </c>
      <c r="AJ243" s="55"/>
      <c r="AK243" s="55">
        <v>156339.51</v>
      </c>
      <c r="AL243" s="8">
        <f>+'Gen Rev'!AI243-'Gen Exp'!AE243+'Gen Exp'!AI243-AK243</f>
        <v>0</v>
      </c>
      <c r="AM243" s="21" t="str">
        <f>'Gen Rev'!A243</f>
        <v>Hamden</v>
      </c>
      <c r="AN243" s="67" t="str">
        <f t="shared" si="13"/>
        <v>Hamden</v>
      </c>
      <c r="AO243" s="67" t="b">
        <f t="shared" si="14"/>
        <v>1</v>
      </c>
    </row>
    <row r="244" spans="1:41" ht="12" customHeight="1" x14ac:dyDescent="0.2">
      <c r="A244" s="1" t="s">
        <v>23</v>
      </c>
      <c r="C244" s="1" t="s">
        <v>265</v>
      </c>
      <c r="E244" s="48">
        <v>16250.99</v>
      </c>
      <c r="F244" s="48"/>
      <c r="G244" s="48">
        <v>0</v>
      </c>
      <c r="H244" s="48"/>
      <c r="I244" s="48">
        <v>0</v>
      </c>
      <c r="J244" s="48"/>
      <c r="K244" s="48">
        <v>0</v>
      </c>
      <c r="L244" s="48"/>
      <c r="M244" s="48">
        <v>0</v>
      </c>
      <c r="N244" s="48"/>
      <c r="O244" s="48">
        <v>0</v>
      </c>
      <c r="P244" s="48"/>
      <c r="Q244" s="48">
        <v>21118.48</v>
      </c>
      <c r="R244" s="48"/>
      <c r="S244" s="48">
        <v>0</v>
      </c>
      <c r="T244" s="48"/>
      <c r="U244" s="48">
        <v>0</v>
      </c>
      <c r="V244" s="48"/>
      <c r="W244" s="48">
        <v>0</v>
      </c>
      <c r="X244" s="48"/>
      <c r="Y244" s="48">
        <v>0</v>
      </c>
      <c r="Z244" s="48"/>
      <c r="AA244" s="48">
        <v>0</v>
      </c>
      <c r="AB244" s="48"/>
      <c r="AC244" s="48">
        <v>0</v>
      </c>
      <c r="AD244" s="48"/>
      <c r="AE244" s="48">
        <f t="shared" si="15"/>
        <v>37369.47</v>
      </c>
      <c r="AG244" s="55">
        <v>1236.93</v>
      </c>
      <c r="AI244" s="55">
        <v>16950.919999999998</v>
      </c>
      <c r="AK244" s="55">
        <v>18187.849999999999</v>
      </c>
      <c r="AL244" s="8">
        <f>+'Gen Rev'!AI244-'Gen Exp'!AE244+'Gen Exp'!AI244-AK244</f>
        <v>0</v>
      </c>
      <c r="AM244" s="21" t="str">
        <f>'Gen Rev'!A244</f>
        <v>Hamersville</v>
      </c>
      <c r="AN244" s="67" t="str">
        <f t="shared" si="13"/>
        <v>Hamersville</v>
      </c>
      <c r="AO244" s="67" t="b">
        <f t="shared" si="14"/>
        <v>1</v>
      </c>
    </row>
    <row r="245" spans="1:41" s="66" customFormat="1" ht="12" customHeight="1" x14ac:dyDescent="0.2">
      <c r="A245" s="1" t="s">
        <v>800</v>
      </c>
      <c r="B245" s="1"/>
      <c r="C245" s="1" t="s">
        <v>377</v>
      </c>
      <c r="D245" s="1"/>
      <c r="E245" s="48">
        <v>45072.12</v>
      </c>
      <c r="F245" s="48"/>
      <c r="G245" s="48">
        <v>486.83</v>
      </c>
      <c r="H245" s="48"/>
      <c r="I245" s="48">
        <v>1000</v>
      </c>
      <c r="J245" s="48"/>
      <c r="K245" s="48">
        <v>1683.62</v>
      </c>
      <c r="L245" s="48"/>
      <c r="M245" s="48">
        <v>402.61</v>
      </c>
      <c r="N245" s="48"/>
      <c r="O245" s="48">
        <v>2229.48</v>
      </c>
      <c r="P245" s="48"/>
      <c r="Q245" s="48">
        <v>99438.78</v>
      </c>
      <c r="R245" s="48"/>
      <c r="S245" s="48">
        <v>0</v>
      </c>
      <c r="T245" s="48"/>
      <c r="U245" s="48">
        <v>0</v>
      </c>
      <c r="V245" s="48"/>
      <c r="W245" s="48">
        <v>0</v>
      </c>
      <c r="X245" s="48"/>
      <c r="Y245" s="48">
        <v>0</v>
      </c>
      <c r="Z245" s="48"/>
      <c r="AA245" s="48">
        <v>0</v>
      </c>
      <c r="AB245" s="48"/>
      <c r="AC245" s="48">
        <v>4747.8100000000004</v>
      </c>
      <c r="AD245" s="48"/>
      <c r="AE245" s="48">
        <f t="shared" si="15"/>
        <v>155061.25</v>
      </c>
      <c r="AF245" s="1"/>
      <c r="AG245" s="55">
        <v>50617.3</v>
      </c>
      <c r="AH245" s="55"/>
      <c r="AI245" s="55">
        <v>95020.58</v>
      </c>
      <c r="AJ245" s="55"/>
      <c r="AK245" s="55">
        <v>145637.88</v>
      </c>
      <c r="AL245" s="8">
        <f>+'Gen Rev'!AI245-'Gen Exp'!AE245+'Gen Exp'!AI245-AK245</f>
        <v>0</v>
      </c>
      <c r="AM245" s="21" t="str">
        <f>'Gen Rev'!A245</f>
        <v>Hamler</v>
      </c>
      <c r="AN245" s="67" t="str">
        <f t="shared" si="13"/>
        <v>Hamler</v>
      </c>
      <c r="AO245" s="67" t="b">
        <f t="shared" si="14"/>
        <v>1</v>
      </c>
    </row>
    <row r="246" spans="1:41" ht="12" customHeight="1" x14ac:dyDescent="0.2">
      <c r="A246" s="1" t="s">
        <v>118</v>
      </c>
      <c r="C246" s="1" t="s">
        <v>406</v>
      </c>
      <c r="E246" s="48">
        <v>204565.24</v>
      </c>
      <c r="F246" s="48"/>
      <c r="G246" s="48">
        <v>0</v>
      </c>
      <c r="H246" s="48"/>
      <c r="I246" s="48">
        <v>3043.14</v>
      </c>
      <c r="J246" s="48"/>
      <c r="K246" s="48">
        <v>0</v>
      </c>
      <c r="L246" s="48"/>
      <c r="M246" s="48">
        <v>0</v>
      </c>
      <c r="N246" s="48"/>
      <c r="O246" s="48">
        <v>855.97</v>
      </c>
      <c r="P246" s="48"/>
      <c r="Q246" s="48">
        <v>92083.51</v>
      </c>
      <c r="R246" s="48"/>
      <c r="S246" s="48">
        <v>0</v>
      </c>
      <c r="T246" s="48"/>
      <c r="U246" s="48">
        <v>2009.03</v>
      </c>
      <c r="V246" s="48"/>
      <c r="W246" s="48">
        <v>8.65</v>
      </c>
      <c r="X246" s="48"/>
      <c r="Y246" s="48">
        <v>0</v>
      </c>
      <c r="Z246" s="48"/>
      <c r="AA246" s="48">
        <v>0</v>
      </c>
      <c r="AB246" s="48"/>
      <c r="AC246" s="48">
        <v>755.9</v>
      </c>
      <c r="AD246" s="48"/>
      <c r="AE246" s="48">
        <f t="shared" si="15"/>
        <v>303321.44000000006</v>
      </c>
      <c r="AG246" s="55">
        <v>61914.99</v>
      </c>
      <c r="AI246" s="55">
        <v>17568.05</v>
      </c>
      <c r="AK246" s="55">
        <v>79483.039999999994</v>
      </c>
      <c r="AL246" s="8">
        <f>+'Gen Rev'!AI246-'Gen Exp'!AE246+'Gen Exp'!AI246-AK246</f>
        <v>-1.1641532182693481E-10</v>
      </c>
      <c r="AM246" s="21" t="str">
        <f>'Gen Rev'!A246</f>
        <v>Hanging Rock</v>
      </c>
      <c r="AN246" s="67" t="str">
        <f t="shared" si="13"/>
        <v>Hanging Rock</v>
      </c>
      <c r="AO246" s="67" t="b">
        <f t="shared" si="14"/>
        <v>1</v>
      </c>
    </row>
    <row r="247" spans="1:41" ht="12" customHeight="1" x14ac:dyDescent="0.2">
      <c r="A247" s="1" t="s">
        <v>703</v>
      </c>
      <c r="C247" s="1" t="s">
        <v>408</v>
      </c>
      <c r="E247" s="48">
        <v>3315.88</v>
      </c>
      <c r="F247" s="48"/>
      <c r="G247" s="48">
        <v>0</v>
      </c>
      <c r="H247" s="48"/>
      <c r="I247" s="48">
        <v>0</v>
      </c>
      <c r="J247" s="48"/>
      <c r="K247" s="48">
        <v>0</v>
      </c>
      <c r="L247" s="48"/>
      <c r="M247" s="48">
        <v>13977.39</v>
      </c>
      <c r="N247" s="48"/>
      <c r="O247" s="48">
        <v>0</v>
      </c>
      <c r="P247" s="48"/>
      <c r="Q247" s="48">
        <v>58987.66</v>
      </c>
      <c r="R247" s="48"/>
      <c r="S247" s="48">
        <v>0</v>
      </c>
      <c r="T247" s="48"/>
      <c r="U247" s="48">
        <v>0</v>
      </c>
      <c r="V247" s="48"/>
      <c r="W247" s="48">
        <v>0</v>
      </c>
      <c r="X247" s="48"/>
      <c r="Y247" s="48">
        <v>0</v>
      </c>
      <c r="Z247" s="48"/>
      <c r="AA247" s="48">
        <v>0</v>
      </c>
      <c r="AB247" s="48"/>
      <c r="AC247" s="48">
        <v>0</v>
      </c>
      <c r="AD247" s="48"/>
      <c r="AE247" s="48">
        <f t="shared" si="15"/>
        <v>76280.930000000008</v>
      </c>
      <c r="AG247" s="55">
        <v>852.96</v>
      </c>
      <c r="AI247" s="55">
        <v>37818.04</v>
      </c>
      <c r="AK247" s="55">
        <v>38671</v>
      </c>
      <c r="AL247" s="8">
        <f>+'Gen Rev'!AI247-'Gen Exp'!AE247+'Gen Exp'!AI247-AK247</f>
        <v>0</v>
      </c>
      <c r="AM247" s="21" t="str">
        <f>'Gen Rev'!A247</f>
        <v>Hanover</v>
      </c>
      <c r="AN247" s="67" t="str">
        <f t="shared" si="13"/>
        <v>Hanover</v>
      </c>
      <c r="AO247" s="67" t="b">
        <f t="shared" si="14"/>
        <v>1</v>
      </c>
    </row>
    <row r="248" spans="1:41" ht="12" customHeight="1" x14ac:dyDescent="0.2">
      <c r="A248" s="1" t="s">
        <v>131</v>
      </c>
      <c r="C248" s="1" t="s">
        <v>423</v>
      </c>
      <c r="E248" s="48">
        <v>33.08</v>
      </c>
      <c r="F248" s="48"/>
      <c r="G248" s="48">
        <v>132.97999999999999</v>
      </c>
      <c r="H248" s="48"/>
      <c r="I248" s="48">
        <v>203.89</v>
      </c>
      <c r="J248" s="48"/>
      <c r="K248" s="48">
        <v>1384.86</v>
      </c>
      <c r="L248" s="48"/>
      <c r="M248" s="48">
        <v>0</v>
      </c>
      <c r="N248" s="48"/>
      <c r="O248" s="48">
        <v>0</v>
      </c>
      <c r="P248" s="48"/>
      <c r="Q248" s="48">
        <v>30057.08</v>
      </c>
      <c r="R248" s="48"/>
      <c r="S248" s="48">
        <v>0</v>
      </c>
      <c r="T248" s="48"/>
      <c r="U248" s="48">
        <v>0</v>
      </c>
      <c r="V248" s="48"/>
      <c r="W248" s="48">
        <v>0</v>
      </c>
      <c r="X248" s="48"/>
      <c r="Y248" s="48">
        <v>0</v>
      </c>
      <c r="Z248" s="48"/>
      <c r="AA248" s="48">
        <v>0</v>
      </c>
      <c r="AB248" s="48"/>
      <c r="AC248" s="48">
        <v>0</v>
      </c>
      <c r="AD248" s="48"/>
      <c r="AE248" s="48">
        <f t="shared" si="15"/>
        <v>31811.890000000003</v>
      </c>
      <c r="AG248" s="55">
        <v>6658.92</v>
      </c>
      <c r="AI248" s="55">
        <v>4228.6899999999996</v>
      </c>
      <c r="AK248" s="55">
        <v>10887.61</v>
      </c>
      <c r="AL248" s="8">
        <f>+'Gen Rev'!AI248-'Gen Exp'!AE248+'Gen Exp'!AI248-AK248</f>
        <v>0</v>
      </c>
      <c r="AM248" s="21" t="str">
        <f>'Gen Rev'!A248</f>
        <v>Harbor View</v>
      </c>
      <c r="AN248" s="67" t="str">
        <f t="shared" si="13"/>
        <v>Harbor View</v>
      </c>
      <c r="AO248" s="67" t="b">
        <f t="shared" si="14"/>
        <v>1</v>
      </c>
    </row>
    <row r="249" spans="1:41" ht="12" customHeight="1" x14ac:dyDescent="0.2">
      <c r="A249" s="1" t="s">
        <v>246</v>
      </c>
      <c r="C249" s="1" t="s">
        <v>566</v>
      </c>
      <c r="E249" s="48">
        <v>7713.29</v>
      </c>
      <c r="F249" s="48"/>
      <c r="G249" s="48">
        <v>576.52</v>
      </c>
      <c r="H249" s="48"/>
      <c r="I249" s="48">
        <v>8598.49</v>
      </c>
      <c r="J249" s="48"/>
      <c r="K249" s="48">
        <v>0</v>
      </c>
      <c r="L249" s="48"/>
      <c r="M249" s="48">
        <v>0</v>
      </c>
      <c r="N249" s="48"/>
      <c r="O249" s="48">
        <v>0</v>
      </c>
      <c r="P249" s="48"/>
      <c r="Q249" s="48">
        <v>15381.66</v>
      </c>
      <c r="R249" s="48"/>
      <c r="S249" s="48">
        <v>0</v>
      </c>
      <c r="T249" s="48"/>
      <c r="U249" s="48">
        <v>0</v>
      </c>
      <c r="V249" s="48"/>
      <c r="W249" s="48">
        <v>0</v>
      </c>
      <c r="X249" s="48"/>
      <c r="Y249" s="48">
        <v>0</v>
      </c>
      <c r="Z249" s="48"/>
      <c r="AA249" s="48">
        <v>0</v>
      </c>
      <c r="AB249" s="48"/>
      <c r="AC249" s="48">
        <v>86.94</v>
      </c>
      <c r="AD249" s="48"/>
      <c r="AE249" s="48">
        <f t="shared" si="15"/>
        <v>32356.899999999998</v>
      </c>
      <c r="AG249" s="55">
        <v>-3637.82</v>
      </c>
      <c r="AI249" s="55">
        <v>23488.9</v>
      </c>
      <c r="AK249" s="55">
        <v>19851.080000000002</v>
      </c>
      <c r="AL249" s="8">
        <f>+'Gen Rev'!AI249-'Gen Exp'!AE249+'Gen Exp'!AI249-AK249</f>
        <v>0</v>
      </c>
      <c r="AM249" s="21" t="str">
        <f>'Gen Rev'!A249</f>
        <v>Harpster</v>
      </c>
      <c r="AN249" s="67" t="str">
        <f t="shared" si="13"/>
        <v>Harpster</v>
      </c>
      <c r="AO249" s="67" t="b">
        <f t="shared" si="14"/>
        <v>1</v>
      </c>
    </row>
    <row r="250" spans="1:41" ht="12" customHeight="1" x14ac:dyDescent="0.2">
      <c r="A250" s="1" t="s">
        <v>801</v>
      </c>
      <c r="C250" s="1" t="s">
        <v>329</v>
      </c>
      <c r="E250" s="48">
        <v>34646.06</v>
      </c>
      <c r="F250" s="48"/>
      <c r="G250" s="48">
        <v>998.08</v>
      </c>
      <c r="H250" s="48"/>
      <c r="I250" s="48">
        <v>0</v>
      </c>
      <c r="J250" s="48"/>
      <c r="K250" s="48">
        <v>0</v>
      </c>
      <c r="L250" s="48"/>
      <c r="M250" s="48">
        <v>0</v>
      </c>
      <c r="N250" s="48"/>
      <c r="O250" s="48">
        <v>0</v>
      </c>
      <c r="P250" s="48"/>
      <c r="Q250" s="48">
        <v>65561.08</v>
      </c>
      <c r="R250" s="48"/>
      <c r="S250" s="48">
        <v>0</v>
      </c>
      <c r="T250" s="48"/>
      <c r="U250" s="48">
        <v>0</v>
      </c>
      <c r="V250" s="48"/>
      <c r="W250" s="48">
        <v>0</v>
      </c>
      <c r="X250" s="48"/>
      <c r="Y250" s="48">
        <v>0</v>
      </c>
      <c r="Z250" s="48"/>
      <c r="AA250" s="48">
        <v>0</v>
      </c>
      <c r="AB250" s="48"/>
      <c r="AC250" s="48">
        <v>0</v>
      </c>
      <c r="AD250" s="48"/>
      <c r="AE250" s="48">
        <f t="shared" si="15"/>
        <v>101205.22</v>
      </c>
      <c r="AG250" s="55">
        <v>-10108.27</v>
      </c>
      <c r="AI250" s="55">
        <v>14788.52</v>
      </c>
      <c r="AK250" s="55">
        <v>4680.25</v>
      </c>
      <c r="AL250" s="8">
        <f>+'Gen Rev'!AI250-'Gen Exp'!AE250+'Gen Exp'!AI250-AK250</f>
        <v>0</v>
      </c>
      <c r="AM250" s="21" t="str">
        <f>'Gen Rev'!A250</f>
        <v>Harrisburg</v>
      </c>
      <c r="AN250" s="67" t="str">
        <f t="shared" si="13"/>
        <v>Harrisburg</v>
      </c>
      <c r="AO250" s="67" t="b">
        <f t="shared" si="14"/>
        <v>1</v>
      </c>
    </row>
    <row r="251" spans="1:41" ht="12" customHeight="1" x14ac:dyDescent="0.2">
      <c r="A251" s="1" t="s">
        <v>715</v>
      </c>
      <c r="C251" s="1" t="s">
        <v>373</v>
      </c>
      <c r="E251" s="48">
        <v>31000.54</v>
      </c>
      <c r="F251" s="48"/>
      <c r="G251" s="48">
        <v>171</v>
      </c>
      <c r="H251" s="48"/>
      <c r="I251" s="48">
        <v>0</v>
      </c>
      <c r="J251" s="48"/>
      <c r="K251" s="48">
        <v>0</v>
      </c>
      <c r="L251" s="48"/>
      <c r="M251" s="48">
        <v>0</v>
      </c>
      <c r="N251" s="48"/>
      <c r="O251" s="48">
        <v>0</v>
      </c>
      <c r="P251" s="48"/>
      <c r="Q251" s="48">
        <v>14800.39</v>
      </c>
      <c r="R251" s="48"/>
      <c r="S251" s="48">
        <v>0</v>
      </c>
      <c r="T251" s="48"/>
      <c r="U251" s="48">
        <v>0</v>
      </c>
      <c r="V251" s="48"/>
      <c r="W251" s="48">
        <v>0</v>
      </c>
      <c r="X251" s="48"/>
      <c r="Y251" s="48">
        <v>0</v>
      </c>
      <c r="Z251" s="48"/>
      <c r="AA251" s="48">
        <v>0</v>
      </c>
      <c r="AB251" s="48"/>
      <c r="AC251" s="48">
        <v>2807.36</v>
      </c>
      <c r="AD251" s="48"/>
      <c r="AE251" s="48">
        <f t="shared" si="15"/>
        <v>48779.29</v>
      </c>
      <c r="AG251" s="55">
        <v>-17527.25</v>
      </c>
      <c r="AI251" s="55">
        <v>32921.51</v>
      </c>
      <c r="AK251" s="55">
        <v>15394.26</v>
      </c>
      <c r="AL251" s="8">
        <f>+'Gen Rev'!AI251-'Gen Exp'!AE251+'Gen Exp'!AI251-AK251</f>
        <v>0</v>
      </c>
      <c r="AM251" s="21" t="str">
        <f>'Gen Rev'!A251</f>
        <v>Harrisville</v>
      </c>
      <c r="AN251" s="67" t="str">
        <f t="shared" si="13"/>
        <v>Harrisville</v>
      </c>
      <c r="AO251" s="67" t="b">
        <f t="shared" si="14"/>
        <v>1</v>
      </c>
    </row>
    <row r="252" spans="1:41" ht="12" customHeight="1" x14ac:dyDescent="0.2">
      <c r="A252" s="1" t="s">
        <v>4</v>
      </c>
      <c r="C252" s="1" t="s">
        <v>651</v>
      </c>
      <c r="D252" s="67"/>
      <c r="E252" s="48">
        <v>7248.1</v>
      </c>
      <c r="F252" s="48"/>
      <c r="G252" s="48">
        <v>980.88</v>
      </c>
      <c r="H252" s="48"/>
      <c r="I252" s="48">
        <v>2630.36</v>
      </c>
      <c r="J252" s="48"/>
      <c r="K252" s="48">
        <v>0</v>
      </c>
      <c r="L252" s="48"/>
      <c r="M252" s="48">
        <v>0</v>
      </c>
      <c r="N252" s="48"/>
      <c r="O252" s="48">
        <v>0</v>
      </c>
      <c r="P252" s="48"/>
      <c r="Q252" s="48">
        <v>30484.47</v>
      </c>
      <c r="R252" s="48"/>
      <c r="S252" s="48">
        <v>9926.57</v>
      </c>
      <c r="T252" s="48"/>
      <c r="U252" s="48">
        <v>0</v>
      </c>
      <c r="V252" s="48"/>
      <c r="W252" s="48">
        <v>0</v>
      </c>
      <c r="X252" s="48"/>
      <c r="Y252" s="48">
        <v>0</v>
      </c>
      <c r="Z252" s="48"/>
      <c r="AA252" s="48">
        <v>0</v>
      </c>
      <c r="AB252" s="48"/>
      <c r="AC252" s="48">
        <v>0</v>
      </c>
      <c r="AD252" s="48"/>
      <c r="AE252" s="48">
        <f t="shared" si="15"/>
        <v>51270.38</v>
      </c>
      <c r="AG252" s="55">
        <v>38647.81</v>
      </c>
      <c r="AI252" s="55">
        <v>25052.880000000001</v>
      </c>
      <c r="AK252" s="55">
        <v>63700.69</v>
      </c>
      <c r="AL252" s="8">
        <f>+'Gen Rev'!AI252-'Gen Exp'!AE252+'Gen Exp'!AI252-AK252</f>
        <v>0</v>
      </c>
      <c r="AM252" s="21" t="str">
        <f>'Gen Rev'!A252</f>
        <v>Harrod</v>
      </c>
      <c r="AN252" s="67" t="str">
        <f t="shared" si="13"/>
        <v>Harrod</v>
      </c>
      <c r="AO252" s="67" t="b">
        <f t="shared" si="14"/>
        <v>1</v>
      </c>
    </row>
    <row r="253" spans="1:41" s="17" customFormat="1" ht="12" customHeight="1" x14ac:dyDescent="0.2">
      <c r="A253" s="1" t="s">
        <v>410</v>
      </c>
      <c r="B253" s="1"/>
      <c r="C253" s="1" t="s">
        <v>408</v>
      </c>
      <c r="D253" s="1"/>
      <c r="E253" s="48">
        <v>13027.51</v>
      </c>
      <c r="F253" s="48"/>
      <c r="G253" s="48">
        <v>0</v>
      </c>
      <c r="H253" s="48"/>
      <c r="I253" s="48">
        <v>5029.96</v>
      </c>
      <c r="J253" s="48"/>
      <c r="K253" s="48">
        <v>0</v>
      </c>
      <c r="L253" s="48"/>
      <c r="M253" s="48">
        <v>0</v>
      </c>
      <c r="N253" s="48"/>
      <c r="O253" s="48">
        <v>0</v>
      </c>
      <c r="P253" s="48"/>
      <c r="Q253" s="48">
        <v>19677.849999999999</v>
      </c>
      <c r="R253" s="48"/>
      <c r="S253" s="48">
        <v>0</v>
      </c>
      <c r="T253" s="48"/>
      <c r="U253" s="48">
        <v>0</v>
      </c>
      <c r="V253" s="48"/>
      <c r="W253" s="48">
        <v>0</v>
      </c>
      <c r="X253" s="48"/>
      <c r="Y253" s="48">
        <v>0</v>
      </c>
      <c r="Z253" s="48"/>
      <c r="AA253" s="48">
        <v>0</v>
      </c>
      <c r="AB253" s="48"/>
      <c r="AC253" s="48">
        <v>0</v>
      </c>
      <c r="AD253" s="48"/>
      <c r="AE253" s="48">
        <f t="shared" si="15"/>
        <v>37735.32</v>
      </c>
      <c r="AF253" s="1"/>
      <c r="AG253" s="55">
        <v>-611.5</v>
      </c>
      <c r="AH253" s="55"/>
      <c r="AI253" s="55">
        <v>16440.23</v>
      </c>
      <c r="AJ253" s="55"/>
      <c r="AK253" s="55">
        <v>15828.73</v>
      </c>
      <c r="AL253" s="8">
        <f>+'Gen Rev'!AI253-'Gen Exp'!AE253+'Gen Exp'!AI253-AK253</f>
        <v>0</v>
      </c>
      <c r="AM253" s="21" t="str">
        <f>'Gen Rev'!A253</f>
        <v>Hartford</v>
      </c>
      <c r="AN253" s="67" t="str">
        <f t="shared" si="13"/>
        <v>Hartford</v>
      </c>
      <c r="AO253" s="67" t="b">
        <f t="shared" si="14"/>
        <v>1</v>
      </c>
    </row>
    <row r="254" spans="1:41" ht="12" customHeight="1" x14ac:dyDescent="0.2">
      <c r="A254" s="1" t="s">
        <v>505</v>
      </c>
      <c r="C254" s="1" t="s">
        <v>502</v>
      </c>
      <c r="E254" s="48">
        <v>596460</v>
      </c>
      <c r="F254" s="48"/>
      <c r="G254" s="48">
        <v>23609</v>
      </c>
      <c r="H254" s="48"/>
      <c r="I254" s="48">
        <v>0</v>
      </c>
      <c r="J254" s="48"/>
      <c r="K254" s="48">
        <v>9310</v>
      </c>
      <c r="L254" s="48"/>
      <c r="M254" s="48">
        <v>0</v>
      </c>
      <c r="N254" s="48"/>
      <c r="O254" s="48">
        <v>28514</v>
      </c>
      <c r="P254" s="48"/>
      <c r="Q254" s="48">
        <v>254840</v>
      </c>
      <c r="R254" s="48"/>
      <c r="S254" s="48">
        <v>39991</v>
      </c>
      <c r="T254" s="48"/>
      <c r="U254" s="48">
        <v>0</v>
      </c>
      <c r="V254" s="48"/>
      <c r="W254" s="48">
        <v>0</v>
      </c>
      <c r="X254" s="48"/>
      <c r="Y254" s="48">
        <v>241000</v>
      </c>
      <c r="Z254" s="48"/>
      <c r="AA254" s="48">
        <v>4498</v>
      </c>
      <c r="AB254" s="48"/>
      <c r="AC254" s="48">
        <v>14306</v>
      </c>
      <c r="AD254" s="48"/>
      <c r="AE254" s="48">
        <f t="shared" si="15"/>
        <v>1212528</v>
      </c>
      <c r="AF254" s="48"/>
      <c r="AG254" s="59"/>
      <c r="AH254" s="59"/>
      <c r="AI254" s="59"/>
      <c r="AJ254" s="59"/>
      <c r="AK254" s="59"/>
      <c r="AL254" s="8">
        <f>+'Gen Rev'!AI254-'Gen Exp'!AE254+'Gen Exp'!AI254-AK254</f>
        <v>297895</v>
      </c>
      <c r="AM254" s="21" t="str">
        <f>'Gen Rev'!A254</f>
        <v>Hartville</v>
      </c>
      <c r="AN254" s="67" t="str">
        <f t="shared" si="13"/>
        <v>Hartville</v>
      </c>
      <c r="AO254" s="67" t="b">
        <f t="shared" si="14"/>
        <v>1</v>
      </c>
    </row>
    <row r="255" spans="1:41" ht="12" customHeight="1" x14ac:dyDescent="0.2">
      <c r="A255" s="1" t="s">
        <v>540</v>
      </c>
      <c r="C255" s="1" t="s">
        <v>541</v>
      </c>
      <c r="E255" s="48">
        <v>0</v>
      </c>
      <c r="F255" s="48"/>
      <c r="G255" s="48">
        <v>510.87</v>
      </c>
      <c r="H255" s="48"/>
      <c r="I255" s="48">
        <v>0</v>
      </c>
      <c r="J255" s="48"/>
      <c r="K255" s="48">
        <v>1358.96</v>
      </c>
      <c r="L255" s="48"/>
      <c r="M255" s="48">
        <v>33418.58</v>
      </c>
      <c r="N255" s="48"/>
      <c r="O255" s="48">
        <v>0</v>
      </c>
      <c r="P255" s="48"/>
      <c r="Q255" s="48">
        <v>105084.6</v>
      </c>
      <c r="R255" s="48"/>
      <c r="S255" s="48">
        <v>0</v>
      </c>
      <c r="T255" s="48"/>
      <c r="U255" s="48">
        <v>0</v>
      </c>
      <c r="V255" s="48"/>
      <c r="W255" s="48">
        <v>0</v>
      </c>
      <c r="X255" s="48"/>
      <c r="Y255" s="48">
        <v>49000</v>
      </c>
      <c r="Z255" s="48"/>
      <c r="AA255" s="48">
        <v>0</v>
      </c>
      <c r="AB255" s="48"/>
      <c r="AC255" s="48">
        <v>0</v>
      </c>
      <c r="AD255" s="48"/>
      <c r="AE255" s="48">
        <f t="shared" si="15"/>
        <v>189373.01</v>
      </c>
      <c r="AG255" s="55">
        <v>26955.14</v>
      </c>
      <c r="AI255" s="55">
        <v>98382.26</v>
      </c>
      <c r="AK255" s="55">
        <v>125337.4</v>
      </c>
      <c r="AL255" s="8">
        <f>+'Gen Rev'!AI255-'Gen Exp'!AE255+'Gen Exp'!AI255-AK255</f>
        <v>0</v>
      </c>
      <c r="AM255" s="21" t="str">
        <f>'Gen Rev'!A255</f>
        <v>Harveysburg</v>
      </c>
      <c r="AN255" s="67" t="str">
        <f t="shared" si="13"/>
        <v>Harveysburg</v>
      </c>
      <c r="AO255" s="67" t="b">
        <f t="shared" si="14"/>
        <v>1</v>
      </c>
    </row>
    <row r="256" spans="1:41" ht="12" customHeight="1" x14ac:dyDescent="0.2">
      <c r="A256" s="1" t="s">
        <v>238</v>
      </c>
      <c r="C256" s="1" t="s">
        <v>558</v>
      </c>
      <c r="E256" s="48">
        <v>134551.04999999999</v>
      </c>
      <c r="F256" s="48"/>
      <c r="G256" s="48">
        <v>1782.39</v>
      </c>
      <c r="H256" s="48"/>
      <c r="I256" s="48">
        <v>12476.25</v>
      </c>
      <c r="J256" s="48"/>
      <c r="K256" s="48">
        <v>7317.17</v>
      </c>
      <c r="L256" s="48"/>
      <c r="M256" s="48">
        <v>10266</v>
      </c>
      <c r="N256" s="48"/>
      <c r="O256" s="48">
        <v>0</v>
      </c>
      <c r="P256" s="48"/>
      <c r="Q256" s="48">
        <v>106298.18</v>
      </c>
      <c r="R256" s="48"/>
      <c r="S256" s="48">
        <v>0</v>
      </c>
      <c r="T256" s="48"/>
      <c r="U256" s="48">
        <v>0</v>
      </c>
      <c r="V256" s="48"/>
      <c r="W256" s="48">
        <v>0</v>
      </c>
      <c r="X256" s="48"/>
      <c r="Y256" s="48">
        <v>55000</v>
      </c>
      <c r="Z256" s="48"/>
      <c r="AA256" s="48">
        <v>0</v>
      </c>
      <c r="AB256" s="48"/>
      <c r="AC256" s="48">
        <v>0</v>
      </c>
      <c r="AD256" s="48"/>
      <c r="AE256" s="48">
        <f t="shared" si="15"/>
        <v>327691.04000000004</v>
      </c>
      <c r="AG256" s="55">
        <v>337322.3</v>
      </c>
      <c r="AI256" s="55">
        <v>259890.83</v>
      </c>
      <c r="AK256" s="55">
        <v>597213.13</v>
      </c>
      <c r="AL256" s="8">
        <f>+'Gen Rev'!AI256-'Gen Exp'!AE256+'Gen Exp'!AI256-AK256</f>
        <v>0</v>
      </c>
      <c r="AM256" s="21" t="str">
        <f>'Gen Rev'!A256</f>
        <v>Haskins</v>
      </c>
      <c r="AN256" s="67" t="str">
        <f t="shared" si="13"/>
        <v>Haskins</v>
      </c>
      <c r="AO256" s="67" t="b">
        <f t="shared" si="14"/>
        <v>1</v>
      </c>
    </row>
    <row r="257" spans="1:41" s="67" customFormat="1" ht="12" customHeight="1" x14ac:dyDescent="0.2">
      <c r="A257" s="1" t="s">
        <v>169</v>
      </c>
      <c r="B257" s="1"/>
      <c r="C257" s="1" t="s">
        <v>460</v>
      </c>
      <c r="D257" s="1"/>
      <c r="E257" s="48">
        <v>6536.52</v>
      </c>
      <c r="F257" s="48"/>
      <c r="G257" s="48">
        <v>0</v>
      </c>
      <c r="H257" s="48"/>
      <c r="I257" s="48">
        <v>1585.35</v>
      </c>
      <c r="J257" s="48"/>
      <c r="K257" s="48">
        <v>0</v>
      </c>
      <c r="L257" s="48"/>
      <c r="M257" s="48">
        <v>0</v>
      </c>
      <c r="N257" s="48"/>
      <c r="O257" s="48">
        <v>0</v>
      </c>
      <c r="P257" s="48"/>
      <c r="Q257" s="48">
        <v>33988.94</v>
      </c>
      <c r="R257" s="48"/>
      <c r="S257" s="48">
        <v>0</v>
      </c>
      <c r="T257" s="48"/>
      <c r="U257" s="48">
        <v>0</v>
      </c>
      <c r="V257" s="48"/>
      <c r="W257" s="48">
        <v>0</v>
      </c>
      <c r="X257" s="48"/>
      <c r="Y257" s="48">
        <v>0</v>
      </c>
      <c r="Z257" s="48"/>
      <c r="AA257" s="48">
        <v>0</v>
      </c>
      <c r="AB257" s="48"/>
      <c r="AC257" s="48">
        <v>0</v>
      </c>
      <c r="AD257" s="48"/>
      <c r="AE257" s="48">
        <f t="shared" si="15"/>
        <v>42110.810000000005</v>
      </c>
      <c r="AF257" s="1"/>
      <c r="AG257" s="55">
        <v>-10662.38</v>
      </c>
      <c r="AH257" s="55"/>
      <c r="AI257" s="55">
        <v>95757.61</v>
      </c>
      <c r="AJ257" s="55"/>
      <c r="AK257" s="55">
        <v>85095.23</v>
      </c>
      <c r="AL257" s="8">
        <f>+'Gen Rev'!AI257-'Gen Exp'!AE257+'Gen Exp'!AI257-AK257</f>
        <v>0</v>
      </c>
      <c r="AM257" s="21" t="str">
        <f>'Gen Rev'!A257</f>
        <v>Haviland</v>
      </c>
      <c r="AN257" s="67" t="str">
        <f t="shared" si="13"/>
        <v>Haviland</v>
      </c>
      <c r="AO257" s="67" t="b">
        <f t="shared" si="14"/>
        <v>1</v>
      </c>
    </row>
    <row r="258" spans="1:41" ht="12" customHeight="1" x14ac:dyDescent="0.2">
      <c r="A258" s="1" t="s">
        <v>7</v>
      </c>
      <c r="C258" s="1" t="s">
        <v>848</v>
      </c>
      <c r="D258" s="67"/>
      <c r="E258" s="48">
        <v>10916.62</v>
      </c>
      <c r="F258" s="48"/>
      <c r="G258" s="48">
        <v>0</v>
      </c>
      <c r="H258" s="48"/>
      <c r="I258" s="48">
        <v>25.18</v>
      </c>
      <c r="J258" s="48"/>
      <c r="K258" s="48">
        <v>400</v>
      </c>
      <c r="L258" s="48"/>
      <c r="M258" s="48">
        <v>0</v>
      </c>
      <c r="N258" s="48"/>
      <c r="O258" s="48">
        <v>0</v>
      </c>
      <c r="P258" s="48"/>
      <c r="Q258" s="48">
        <v>47480.15</v>
      </c>
      <c r="R258" s="48"/>
      <c r="S258" s="48">
        <v>0</v>
      </c>
      <c r="T258" s="48"/>
      <c r="U258" s="48">
        <v>0</v>
      </c>
      <c r="V258" s="48"/>
      <c r="W258" s="48">
        <v>0</v>
      </c>
      <c r="X258" s="48"/>
      <c r="Y258" s="48">
        <v>0</v>
      </c>
      <c r="Z258" s="48"/>
      <c r="AA258" s="48">
        <v>0</v>
      </c>
      <c r="AB258" s="48"/>
      <c r="AC258" s="48">
        <v>0</v>
      </c>
      <c r="AD258" s="48"/>
      <c r="AE258" s="48">
        <f t="shared" si="15"/>
        <v>58821.950000000004</v>
      </c>
      <c r="AG258" s="55">
        <v>-3080.3</v>
      </c>
      <c r="AI258" s="55">
        <v>45009.22</v>
      </c>
      <c r="AK258" s="55">
        <v>41928.92</v>
      </c>
      <c r="AL258" s="8">
        <f>+'Gen Rev'!AI258-'Gen Exp'!AE258+'Gen Exp'!AI258-AK258</f>
        <v>0</v>
      </c>
      <c r="AM258" s="21" t="str">
        <f>'Gen Rev'!A258</f>
        <v>Hayesville</v>
      </c>
      <c r="AN258" s="67" t="str">
        <f t="shared" si="13"/>
        <v>Hayesville</v>
      </c>
      <c r="AO258" s="67" t="b">
        <f t="shared" si="14"/>
        <v>1</v>
      </c>
    </row>
    <row r="259" spans="1:41" s="67" customFormat="1" ht="12" customHeight="1" x14ac:dyDescent="0.2">
      <c r="A259" s="1" t="s">
        <v>411</v>
      </c>
      <c r="B259" s="1"/>
      <c r="C259" s="1" t="s">
        <v>408</v>
      </c>
      <c r="D259" s="1"/>
      <c r="E259" s="48">
        <v>325199.71999999997</v>
      </c>
      <c r="F259" s="48"/>
      <c r="G259" s="48">
        <v>0</v>
      </c>
      <c r="H259" s="48"/>
      <c r="I259" s="48">
        <v>0</v>
      </c>
      <c r="J259" s="48"/>
      <c r="K259" s="48">
        <v>64213.47</v>
      </c>
      <c r="L259" s="48"/>
      <c r="M259" s="48">
        <v>0</v>
      </c>
      <c r="N259" s="48"/>
      <c r="O259" s="48">
        <v>1000</v>
      </c>
      <c r="P259" s="48"/>
      <c r="Q259" s="48">
        <v>343403.42</v>
      </c>
      <c r="R259" s="48"/>
      <c r="S259" s="48">
        <v>0</v>
      </c>
      <c r="T259" s="48"/>
      <c r="U259" s="48">
        <v>0</v>
      </c>
      <c r="V259" s="48"/>
      <c r="W259" s="48">
        <v>0</v>
      </c>
      <c r="X259" s="48"/>
      <c r="Y259" s="48">
        <v>1038000</v>
      </c>
      <c r="Z259" s="48"/>
      <c r="AA259" s="48">
        <v>0</v>
      </c>
      <c r="AB259" s="48"/>
      <c r="AC259" s="48">
        <v>0</v>
      </c>
      <c r="AD259" s="48"/>
      <c r="AE259" s="48">
        <f t="shared" si="15"/>
        <v>1771816.6099999999</v>
      </c>
      <c r="AF259" s="1"/>
      <c r="AG259" s="55">
        <v>428378.17</v>
      </c>
      <c r="AH259" s="55"/>
      <c r="AI259" s="55">
        <v>1395749.85</v>
      </c>
      <c r="AJ259" s="55"/>
      <c r="AK259" s="55">
        <v>1824128.02</v>
      </c>
      <c r="AL259" s="8">
        <f>+'Gen Rev'!AI259-'Gen Exp'!AE259+'Gen Exp'!AI259-AK259</f>
        <v>0</v>
      </c>
      <c r="AM259" s="21" t="str">
        <f>'Gen Rev'!A259</f>
        <v>Hebron</v>
      </c>
      <c r="AN259" s="67" t="str">
        <f t="shared" si="13"/>
        <v>Hebron</v>
      </c>
      <c r="AO259" s="67" t="b">
        <f t="shared" si="14"/>
        <v>1</v>
      </c>
    </row>
    <row r="260" spans="1:41" s="67" customFormat="1" ht="12" customHeight="1" x14ac:dyDescent="0.2">
      <c r="A260" s="1" t="s">
        <v>199</v>
      </c>
      <c r="B260" s="1"/>
      <c r="C260" s="1" t="s">
        <v>487</v>
      </c>
      <c r="D260" s="1"/>
      <c r="E260" s="48">
        <v>4559.76</v>
      </c>
      <c r="F260" s="48"/>
      <c r="G260" s="48">
        <v>784.34</v>
      </c>
      <c r="H260" s="48"/>
      <c r="I260" s="48">
        <v>1129.3599999999999</v>
      </c>
      <c r="J260" s="48"/>
      <c r="K260" s="48">
        <v>9602</v>
      </c>
      <c r="L260" s="48"/>
      <c r="M260" s="48">
        <v>13385.84</v>
      </c>
      <c r="N260" s="48"/>
      <c r="O260" s="48">
        <v>0</v>
      </c>
      <c r="P260" s="48"/>
      <c r="Q260" s="48">
        <v>30474.77</v>
      </c>
      <c r="R260" s="48"/>
      <c r="S260" s="48">
        <v>0</v>
      </c>
      <c r="T260" s="48"/>
      <c r="U260" s="48">
        <v>0</v>
      </c>
      <c r="V260" s="48"/>
      <c r="W260" s="48">
        <v>0</v>
      </c>
      <c r="X260" s="48"/>
      <c r="Y260" s="48">
        <v>0</v>
      </c>
      <c r="Z260" s="48"/>
      <c r="AA260" s="48">
        <v>0</v>
      </c>
      <c r="AB260" s="48"/>
      <c r="AC260" s="48">
        <v>0</v>
      </c>
      <c r="AD260" s="48"/>
      <c r="AE260" s="48">
        <f t="shared" si="15"/>
        <v>59936.07</v>
      </c>
      <c r="AF260" s="1"/>
      <c r="AG260" s="55">
        <v>-10162.870000000001</v>
      </c>
      <c r="AH260" s="55"/>
      <c r="AI260" s="55">
        <v>247762.18</v>
      </c>
      <c r="AJ260" s="55"/>
      <c r="AK260" s="55">
        <v>237599.31</v>
      </c>
      <c r="AL260" s="8">
        <f>+'Gen Rev'!AI260-'Gen Exp'!AE260+'Gen Exp'!AI260-AK260</f>
        <v>0</v>
      </c>
      <c r="AM260" s="21" t="str">
        <f>'Gen Rev'!A260</f>
        <v>Helena</v>
      </c>
      <c r="AN260" s="67" t="str">
        <f t="shared" si="13"/>
        <v>Helena</v>
      </c>
      <c r="AO260" s="67" t="b">
        <f t="shared" si="14"/>
        <v>1</v>
      </c>
    </row>
    <row r="261" spans="1:41" ht="12" customHeight="1" x14ac:dyDescent="0.2">
      <c r="A261" s="1" t="s">
        <v>318</v>
      </c>
      <c r="C261" s="1" t="s">
        <v>319</v>
      </c>
      <c r="E261" s="48">
        <v>477881</v>
      </c>
      <c r="F261" s="48"/>
      <c r="G261" s="48">
        <v>27500</v>
      </c>
      <c r="H261" s="48"/>
      <c r="I261" s="48">
        <v>85548</v>
      </c>
      <c r="J261" s="48"/>
      <c r="K261" s="48">
        <v>11563</v>
      </c>
      <c r="L261" s="48"/>
      <c r="M261" s="48">
        <v>0</v>
      </c>
      <c r="N261" s="48"/>
      <c r="O261" s="48">
        <v>0</v>
      </c>
      <c r="P261" s="48"/>
      <c r="Q261" s="48">
        <v>360539</v>
      </c>
      <c r="R261" s="48"/>
      <c r="S261" s="48">
        <v>87812</v>
      </c>
      <c r="T261" s="48"/>
      <c r="U261" s="48">
        <v>0</v>
      </c>
      <c r="V261" s="48"/>
      <c r="W261" s="48">
        <v>0</v>
      </c>
      <c r="X261" s="48"/>
      <c r="Y261" s="48">
        <v>440000</v>
      </c>
      <c r="Z261" s="48"/>
      <c r="AA261" s="48">
        <v>0</v>
      </c>
      <c r="AB261" s="48"/>
      <c r="AC261" s="48">
        <f>19447+452+1730</f>
        <v>21629</v>
      </c>
      <c r="AD261" s="48"/>
      <c r="AE261" s="48">
        <f t="shared" si="15"/>
        <v>1512472</v>
      </c>
      <c r="AF261" s="48"/>
      <c r="AG261" s="59"/>
      <c r="AH261" s="59"/>
      <c r="AI261" s="59"/>
      <c r="AJ261" s="59"/>
      <c r="AK261" s="59"/>
      <c r="AL261" s="8">
        <f>+'Gen Rev'!AI261-'Gen Exp'!AE261+'Gen Exp'!AI261-AK261</f>
        <v>-85576</v>
      </c>
      <c r="AM261" s="21" t="str">
        <f>'Gen Rev'!A261</f>
        <v>Hicksville</v>
      </c>
      <c r="AN261" s="67" t="str">
        <f t="shared" si="13"/>
        <v>Hicksville</v>
      </c>
      <c r="AO261" s="67" t="b">
        <f t="shared" si="14"/>
        <v>1</v>
      </c>
    </row>
    <row r="262" spans="1:41" ht="12" customHeight="1" x14ac:dyDescent="0.2">
      <c r="A262" s="1" t="s">
        <v>831</v>
      </c>
      <c r="C262" s="1" t="s">
        <v>265</v>
      </c>
      <c r="E262" s="48">
        <v>3546</v>
      </c>
      <c r="F262" s="48"/>
      <c r="G262" s="48">
        <v>0</v>
      </c>
      <c r="H262" s="48"/>
      <c r="I262" s="48">
        <v>0</v>
      </c>
      <c r="J262" s="48"/>
      <c r="K262" s="48">
        <v>0</v>
      </c>
      <c r="L262" s="48"/>
      <c r="M262" s="48">
        <v>830</v>
      </c>
      <c r="N262" s="48"/>
      <c r="O262" s="48">
        <v>0</v>
      </c>
      <c r="P262" s="48"/>
      <c r="Q262" s="48">
        <v>5617</v>
      </c>
      <c r="R262" s="48"/>
      <c r="S262" s="48">
        <v>0</v>
      </c>
      <c r="T262" s="48"/>
      <c r="U262" s="48">
        <v>0</v>
      </c>
      <c r="V262" s="48"/>
      <c r="W262" s="48">
        <v>0</v>
      </c>
      <c r="X262" s="48"/>
      <c r="Y262" s="48">
        <v>2142</v>
      </c>
      <c r="Z262" s="48"/>
      <c r="AA262" s="48">
        <v>0</v>
      </c>
      <c r="AB262" s="48"/>
      <c r="AC262" s="48">
        <v>0</v>
      </c>
      <c r="AD262" s="48"/>
      <c r="AE262" s="48">
        <f t="shared" si="15"/>
        <v>12135</v>
      </c>
      <c r="AF262" s="48"/>
      <c r="AG262" s="59"/>
      <c r="AH262" s="59"/>
      <c r="AI262" s="59"/>
      <c r="AJ262" s="59"/>
      <c r="AK262" s="59"/>
      <c r="AL262" s="8">
        <f>+'Gen Rev'!AI262-'Gen Exp'!AE262+'Gen Exp'!AI262-AK262</f>
        <v>6738</v>
      </c>
      <c r="AM262" s="21" t="str">
        <f>'Gen Rev'!A262</f>
        <v>Higginsport</v>
      </c>
      <c r="AN262" s="67" t="str">
        <f t="shared" si="13"/>
        <v>Higginsport</v>
      </c>
      <c r="AO262" s="67" t="b">
        <f t="shared" si="14"/>
        <v>1</v>
      </c>
    </row>
    <row r="263" spans="1:41" s="67" customFormat="1" ht="12" customHeight="1" x14ac:dyDescent="0.2">
      <c r="A263" s="1" t="s">
        <v>379</v>
      </c>
      <c r="B263" s="1"/>
      <c r="C263" s="1" t="s">
        <v>379</v>
      </c>
      <c r="E263" s="48">
        <v>3637</v>
      </c>
      <c r="F263" s="48"/>
      <c r="G263" s="48">
        <v>0</v>
      </c>
      <c r="H263" s="48"/>
      <c r="I263" s="48">
        <v>5060</v>
      </c>
      <c r="J263" s="48"/>
      <c r="K263" s="48">
        <v>0</v>
      </c>
      <c r="L263" s="48"/>
      <c r="M263" s="48">
        <v>0</v>
      </c>
      <c r="N263" s="48"/>
      <c r="O263" s="48">
        <v>0</v>
      </c>
      <c r="P263" s="48"/>
      <c r="Q263" s="48">
        <v>21997</v>
      </c>
      <c r="R263" s="48"/>
      <c r="S263" s="48">
        <v>0</v>
      </c>
      <c r="T263" s="48"/>
      <c r="U263" s="48">
        <v>1950</v>
      </c>
      <c r="V263" s="48"/>
      <c r="W263" s="48">
        <v>0</v>
      </c>
      <c r="X263" s="48"/>
      <c r="Y263" s="48">
        <v>0</v>
      </c>
      <c r="Z263" s="48"/>
      <c r="AA263" s="48">
        <v>0</v>
      </c>
      <c r="AB263" s="48"/>
      <c r="AC263" s="48">
        <v>0</v>
      </c>
      <c r="AD263" s="48"/>
      <c r="AE263" s="48">
        <f t="shared" si="15"/>
        <v>32644</v>
      </c>
      <c r="AF263" s="48"/>
      <c r="AG263" s="59"/>
      <c r="AH263" s="59"/>
      <c r="AI263" s="59"/>
      <c r="AJ263" s="59"/>
      <c r="AK263" s="59"/>
      <c r="AL263" s="8">
        <f>+'Gen Rev'!AI263-'Gen Exp'!AE263+'Gen Exp'!AI263-AK263</f>
        <v>-5083</v>
      </c>
      <c r="AM263" s="21" t="str">
        <f>'Gen Rev'!A263</f>
        <v>Highland</v>
      </c>
      <c r="AN263" s="67" t="str">
        <f t="shared" si="13"/>
        <v>Highland</v>
      </c>
      <c r="AO263" s="67" t="b">
        <f t="shared" si="14"/>
        <v>1</v>
      </c>
    </row>
    <row r="264" spans="1:41" s="67" customFormat="1" ht="12" customHeight="1" x14ac:dyDescent="0.2">
      <c r="A264" s="1" t="s">
        <v>821</v>
      </c>
      <c r="B264" s="1"/>
      <c r="C264" s="1" t="s">
        <v>293</v>
      </c>
      <c r="D264" s="1"/>
      <c r="E264" s="48">
        <v>955227</v>
      </c>
      <c r="F264" s="48"/>
      <c r="G264" s="48">
        <v>0</v>
      </c>
      <c r="H264" s="48"/>
      <c r="I264" s="48">
        <v>0</v>
      </c>
      <c r="J264" s="48"/>
      <c r="K264" s="48">
        <v>647225</v>
      </c>
      <c r="L264" s="48"/>
      <c r="M264" s="48">
        <v>0</v>
      </c>
      <c r="N264" s="48"/>
      <c r="O264" s="48">
        <v>338150</v>
      </c>
      <c r="P264" s="48"/>
      <c r="Q264" s="48">
        <v>1244405</v>
      </c>
      <c r="R264" s="48"/>
      <c r="S264" s="48">
        <v>0</v>
      </c>
      <c r="T264" s="48"/>
      <c r="U264" s="48">
        <v>0</v>
      </c>
      <c r="V264" s="48"/>
      <c r="W264" s="48">
        <v>0</v>
      </c>
      <c r="X264" s="48"/>
      <c r="Y264" s="48">
        <v>1090970</v>
      </c>
      <c r="Z264" s="48"/>
      <c r="AA264" s="48">
        <v>0</v>
      </c>
      <c r="AB264" s="48"/>
      <c r="AC264" s="48">
        <v>0</v>
      </c>
      <c r="AD264" s="48"/>
      <c r="AE264" s="48">
        <f t="shared" si="15"/>
        <v>4275977</v>
      </c>
      <c r="AF264" s="48"/>
      <c r="AG264" s="59"/>
      <c r="AH264" s="59"/>
      <c r="AI264" s="59"/>
      <c r="AJ264" s="59"/>
      <c r="AK264" s="59"/>
      <c r="AL264" s="8">
        <f>+'Gen Rev'!AI264-'Gen Exp'!AE264+'Gen Exp'!AI264-AK264</f>
        <v>-370555</v>
      </c>
      <c r="AM264" s="21" t="str">
        <f>'Gen Rev'!A264</f>
        <v>Highland Hills</v>
      </c>
      <c r="AN264" s="67" t="str">
        <f t="shared" si="13"/>
        <v>Highland Hills</v>
      </c>
      <c r="AO264" s="67" t="b">
        <f t="shared" si="14"/>
        <v>1</v>
      </c>
    </row>
    <row r="265" spans="1:41" ht="12" customHeight="1" x14ac:dyDescent="0.2">
      <c r="A265" s="1" t="s">
        <v>210</v>
      </c>
      <c r="C265" s="1" t="s">
        <v>502</v>
      </c>
      <c r="E265" s="48">
        <v>0</v>
      </c>
      <c r="F265" s="48"/>
      <c r="G265" s="48">
        <v>0</v>
      </c>
      <c r="H265" s="48"/>
      <c r="I265" s="48">
        <v>61063.53</v>
      </c>
      <c r="J265" s="48"/>
      <c r="K265" s="48">
        <v>1149.6500000000001</v>
      </c>
      <c r="L265" s="48"/>
      <c r="M265" s="48">
        <v>4772.67</v>
      </c>
      <c r="N265" s="48"/>
      <c r="O265" s="48">
        <v>0</v>
      </c>
      <c r="P265" s="48"/>
      <c r="Q265" s="48">
        <v>34561</v>
      </c>
      <c r="R265" s="48"/>
      <c r="S265" s="48">
        <v>10792.19</v>
      </c>
      <c r="T265" s="48"/>
      <c r="U265" s="48">
        <v>0</v>
      </c>
      <c r="V265" s="48"/>
      <c r="W265" s="48">
        <v>0</v>
      </c>
      <c r="X265" s="48"/>
      <c r="Y265" s="48">
        <v>0</v>
      </c>
      <c r="Z265" s="48"/>
      <c r="AA265" s="48">
        <v>0</v>
      </c>
      <c r="AB265" s="48"/>
      <c r="AC265" s="48">
        <v>0</v>
      </c>
      <c r="AD265" s="48"/>
      <c r="AE265" s="48">
        <f t="shared" si="15"/>
        <v>112339.04000000001</v>
      </c>
      <c r="AG265" s="55">
        <v>-23303.98</v>
      </c>
      <c r="AI265" s="55">
        <v>1746091.35</v>
      </c>
      <c r="AK265" s="55">
        <v>1722787.37</v>
      </c>
      <c r="AL265" s="8">
        <f>+'Gen Rev'!AI265-'Gen Exp'!AE265+'Gen Exp'!AI265-AK265</f>
        <v>0</v>
      </c>
      <c r="AM265" s="21" t="str">
        <f>'Gen Rev'!A265</f>
        <v>Hills And Dales</v>
      </c>
      <c r="AN265" s="67" t="str">
        <f t="shared" si="13"/>
        <v>Hills And Dales</v>
      </c>
      <c r="AO265" s="67" t="b">
        <f t="shared" si="14"/>
        <v>1</v>
      </c>
    </row>
    <row r="266" spans="1:41" ht="12" customHeight="1" x14ac:dyDescent="0.2"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L266" s="8"/>
      <c r="AM266" s="21"/>
      <c r="AN266" s="67"/>
      <c r="AO266" s="67"/>
    </row>
    <row r="267" spans="1:41" ht="12" customHeight="1" x14ac:dyDescent="0.2"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88" t="s">
        <v>733</v>
      </c>
      <c r="AL267" s="8"/>
      <c r="AM267" s="21"/>
      <c r="AN267" s="67"/>
      <c r="AO267" s="67"/>
    </row>
    <row r="268" spans="1:41" ht="12" customHeight="1" x14ac:dyDescent="0.2"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L268" s="8"/>
      <c r="AM268" s="21"/>
      <c r="AN268" s="67"/>
      <c r="AO268" s="67"/>
    </row>
    <row r="269" spans="1:41" s="67" customFormat="1" ht="12" customHeight="1" x14ac:dyDescent="0.2">
      <c r="A269" s="1" t="s">
        <v>179</v>
      </c>
      <c r="B269" s="1"/>
      <c r="C269" s="1" t="s">
        <v>241</v>
      </c>
      <c r="D269" s="1"/>
      <c r="E269" s="68">
        <v>402592.63</v>
      </c>
      <c r="F269" s="48"/>
      <c r="G269" s="68">
        <v>0</v>
      </c>
      <c r="H269" s="68"/>
      <c r="I269" s="68">
        <v>330</v>
      </c>
      <c r="J269" s="68"/>
      <c r="K269" s="68">
        <v>3802.26</v>
      </c>
      <c r="L269" s="68"/>
      <c r="M269" s="68">
        <v>1037.0899999999999</v>
      </c>
      <c r="N269" s="68"/>
      <c r="O269" s="68">
        <v>75061.58</v>
      </c>
      <c r="P269" s="68"/>
      <c r="Q269" s="68">
        <v>239329.23</v>
      </c>
      <c r="R269" s="68"/>
      <c r="S269" s="68">
        <v>0</v>
      </c>
      <c r="T269" s="68"/>
      <c r="U269" s="68">
        <v>16791</v>
      </c>
      <c r="V269" s="68"/>
      <c r="W269" s="68">
        <v>1790.34</v>
      </c>
      <c r="X269" s="68"/>
      <c r="Y269" s="68">
        <v>56210.86</v>
      </c>
      <c r="Z269" s="68"/>
      <c r="AA269" s="68">
        <v>38167.199999999997</v>
      </c>
      <c r="AB269" s="68"/>
      <c r="AC269" s="68">
        <v>0</v>
      </c>
      <c r="AD269" s="68"/>
      <c r="AE269" s="68">
        <f t="shared" si="15"/>
        <v>835112.19</v>
      </c>
      <c r="AF269" s="1"/>
      <c r="AG269" s="55">
        <v>33548.76</v>
      </c>
      <c r="AH269" s="55"/>
      <c r="AI269" s="55">
        <v>755877.32</v>
      </c>
      <c r="AJ269" s="55"/>
      <c r="AK269" s="55">
        <v>789426.08</v>
      </c>
      <c r="AL269" s="8">
        <f>+'Gen Rev'!AI266-'Gen Exp'!AE269+'Gen Exp'!AI269-AK269</f>
        <v>0</v>
      </c>
      <c r="AM269" s="21" t="str">
        <f>'Gen Rev'!A266</f>
        <v>Hiram</v>
      </c>
      <c r="AN269" s="67" t="str">
        <f t="shared" si="13"/>
        <v>Hiram</v>
      </c>
      <c r="AO269" s="67" t="b">
        <f t="shared" si="14"/>
        <v>1</v>
      </c>
    </row>
    <row r="270" spans="1:41" s="5" customFormat="1" ht="12" customHeight="1" x14ac:dyDescent="0.2">
      <c r="A270" s="1" t="s">
        <v>378</v>
      </c>
      <c r="B270" s="1"/>
      <c r="C270" s="1" t="s">
        <v>377</v>
      </c>
      <c r="D270" s="1"/>
      <c r="E270" s="48">
        <v>38595</v>
      </c>
      <c r="F270" s="48"/>
      <c r="G270" s="48">
        <v>0</v>
      </c>
      <c r="H270" s="48"/>
      <c r="I270" s="48">
        <v>0</v>
      </c>
      <c r="J270" s="48"/>
      <c r="K270" s="48">
        <v>4368</v>
      </c>
      <c r="L270" s="48"/>
      <c r="M270" s="48">
        <v>0</v>
      </c>
      <c r="N270" s="48"/>
      <c r="O270" s="48">
        <v>0</v>
      </c>
      <c r="P270" s="48"/>
      <c r="Q270" s="48">
        <v>145492</v>
      </c>
      <c r="R270" s="48"/>
      <c r="S270" s="48">
        <v>27175</v>
      </c>
      <c r="T270" s="48"/>
      <c r="U270" s="48">
        <v>0</v>
      </c>
      <c r="V270" s="48"/>
      <c r="W270" s="48">
        <v>0</v>
      </c>
      <c r="X270" s="48"/>
      <c r="Y270" s="48">
        <v>0</v>
      </c>
      <c r="Z270" s="48"/>
      <c r="AA270" s="48">
        <v>0</v>
      </c>
      <c r="AB270" s="48"/>
      <c r="AC270" s="48">
        <v>6862</v>
      </c>
      <c r="AD270" s="48"/>
      <c r="AE270" s="48">
        <f t="shared" si="15"/>
        <v>222492</v>
      </c>
      <c r="AF270" s="48"/>
      <c r="AG270" s="59"/>
      <c r="AH270" s="59"/>
      <c r="AI270" s="59"/>
      <c r="AJ270" s="59"/>
      <c r="AK270" s="59"/>
      <c r="AL270" s="8">
        <f>+'Gen Rev'!AI267-'Gen Exp'!AE270+'Gen Exp'!AI270-AK270</f>
        <v>7764</v>
      </c>
      <c r="AM270" s="21" t="str">
        <f>'Gen Rev'!A267</f>
        <v>Holgate</v>
      </c>
      <c r="AN270" s="67" t="str">
        <f t="shared" si="13"/>
        <v>Holgate</v>
      </c>
      <c r="AO270" s="67" t="b">
        <f t="shared" si="14"/>
        <v>1</v>
      </c>
    </row>
    <row r="271" spans="1:41" ht="12" customHeight="1" x14ac:dyDescent="0.2">
      <c r="A271" s="1" t="s">
        <v>249</v>
      </c>
      <c r="C271" s="1" t="s">
        <v>554</v>
      </c>
      <c r="E271" s="48">
        <v>0</v>
      </c>
      <c r="F271" s="48"/>
      <c r="G271" s="48">
        <v>0</v>
      </c>
      <c r="H271" s="48"/>
      <c r="I271" s="48">
        <v>0</v>
      </c>
      <c r="J271" s="48"/>
      <c r="K271" s="48">
        <v>0</v>
      </c>
      <c r="L271" s="48"/>
      <c r="M271" s="48">
        <v>128034.64</v>
      </c>
      <c r="N271" s="48"/>
      <c r="O271" s="48">
        <v>0</v>
      </c>
      <c r="P271" s="48"/>
      <c r="Q271" s="48">
        <v>134389.65</v>
      </c>
      <c r="R271" s="48"/>
      <c r="S271" s="48">
        <v>25176.75</v>
      </c>
      <c r="T271" s="48"/>
      <c r="U271" s="48">
        <v>0</v>
      </c>
      <c r="V271" s="48"/>
      <c r="W271" s="48">
        <v>0</v>
      </c>
      <c r="X271" s="48"/>
      <c r="Y271" s="48">
        <v>149947.57999999999</v>
      </c>
      <c r="Z271" s="48"/>
      <c r="AA271" s="48">
        <v>0</v>
      </c>
      <c r="AB271" s="48"/>
      <c r="AC271" s="48">
        <v>0</v>
      </c>
      <c r="AD271" s="48"/>
      <c r="AE271" s="48">
        <f t="shared" si="15"/>
        <v>437548.62</v>
      </c>
      <c r="AG271" s="55">
        <v>-28013.75</v>
      </c>
      <c r="AI271" s="55">
        <v>1382091.5</v>
      </c>
      <c r="AK271" s="55">
        <v>1354077.75</v>
      </c>
      <c r="AL271" s="8">
        <f>+'Gen Rev'!AI268-'Gen Exp'!AE271+'Gen Exp'!AI271-AK271</f>
        <v>0</v>
      </c>
      <c r="AM271" s="21" t="str">
        <f>'Gen Rev'!A268</f>
        <v>Holiday City</v>
      </c>
      <c r="AN271" s="67" t="str">
        <f t="shared" si="13"/>
        <v>Holiday City</v>
      </c>
      <c r="AO271" s="67" t="b">
        <f t="shared" si="14"/>
        <v>1</v>
      </c>
    </row>
    <row r="272" spans="1:41" ht="12" customHeight="1" x14ac:dyDescent="0.2">
      <c r="A272" s="1" t="s">
        <v>422</v>
      </c>
      <c r="C272" s="1" t="s">
        <v>423</v>
      </c>
      <c r="E272" s="48">
        <v>1072793</v>
      </c>
      <c r="F272" s="48"/>
      <c r="G272" s="48">
        <v>11104</v>
      </c>
      <c r="H272" s="48"/>
      <c r="I272" s="48">
        <v>78099</v>
      </c>
      <c r="J272" s="48"/>
      <c r="K272" s="48">
        <v>78736</v>
      </c>
      <c r="L272" s="48"/>
      <c r="M272" s="48">
        <v>56349</v>
      </c>
      <c r="N272" s="48"/>
      <c r="O272" s="48">
        <v>0</v>
      </c>
      <c r="P272" s="48"/>
      <c r="Q272" s="48">
        <v>484566</v>
      </c>
      <c r="R272" s="48"/>
      <c r="S272" s="48">
        <v>64206</v>
      </c>
      <c r="T272" s="48"/>
      <c r="U272" s="48">
        <v>0</v>
      </c>
      <c r="V272" s="48"/>
      <c r="W272" s="48">
        <v>0</v>
      </c>
      <c r="X272" s="48"/>
      <c r="Y272" s="48">
        <v>332510</v>
      </c>
      <c r="Z272" s="48"/>
      <c r="AA272" s="48">
        <v>0</v>
      </c>
      <c r="AB272" s="48"/>
      <c r="AC272" s="48">
        <v>0</v>
      </c>
      <c r="AD272" s="48"/>
      <c r="AE272" s="48">
        <f t="shared" si="15"/>
        <v>2178363</v>
      </c>
      <c r="AF272" s="48"/>
      <c r="AG272" s="59"/>
      <c r="AH272" s="59"/>
      <c r="AI272" s="59"/>
      <c r="AJ272" s="59"/>
      <c r="AK272" s="59"/>
      <c r="AL272" s="8">
        <f>+'Gen Rev'!AI269-'Gen Exp'!AE272+'Gen Exp'!AI272-AK272</f>
        <v>547400</v>
      </c>
      <c r="AM272" s="21" t="str">
        <f>'Gen Rev'!A269</f>
        <v>Holland</v>
      </c>
      <c r="AN272" s="67" t="str">
        <f t="shared" si="13"/>
        <v>Holland</v>
      </c>
      <c r="AO272" s="67" t="b">
        <f t="shared" si="14"/>
        <v>1</v>
      </c>
    </row>
    <row r="273" spans="1:41" s="67" customFormat="1" ht="12" customHeight="1" x14ac:dyDescent="0.2">
      <c r="A273" s="1" t="s">
        <v>309</v>
      </c>
      <c r="B273" s="1"/>
      <c r="C273" s="1" t="s">
        <v>306</v>
      </c>
      <c r="D273" s="1"/>
      <c r="E273" s="48">
        <v>25917</v>
      </c>
      <c r="F273" s="48"/>
      <c r="G273" s="48">
        <v>485</v>
      </c>
      <c r="H273" s="48"/>
      <c r="I273" s="48">
        <v>3771</v>
      </c>
      <c r="J273" s="48"/>
      <c r="K273" s="48">
        <v>0</v>
      </c>
      <c r="L273" s="48"/>
      <c r="M273" s="48">
        <v>2183</v>
      </c>
      <c r="N273" s="48"/>
      <c r="O273" s="48">
        <v>17171</v>
      </c>
      <c r="P273" s="48"/>
      <c r="Q273" s="48">
        <v>0</v>
      </c>
      <c r="R273" s="48"/>
      <c r="S273" s="48">
        <v>0</v>
      </c>
      <c r="T273" s="48"/>
      <c r="U273" s="48">
        <v>0</v>
      </c>
      <c r="V273" s="48"/>
      <c r="W273" s="48">
        <v>0</v>
      </c>
      <c r="X273" s="48"/>
      <c r="Y273" s="48">
        <v>0</v>
      </c>
      <c r="Z273" s="48"/>
      <c r="AA273" s="48">
        <v>0</v>
      </c>
      <c r="AB273" s="48"/>
      <c r="AC273" s="48">
        <v>0</v>
      </c>
      <c r="AD273" s="48"/>
      <c r="AE273" s="48">
        <f t="shared" si="15"/>
        <v>49527</v>
      </c>
      <c r="AF273" s="48"/>
      <c r="AG273" s="59"/>
      <c r="AH273" s="59"/>
      <c r="AI273" s="59"/>
      <c r="AJ273" s="59"/>
      <c r="AK273" s="59"/>
      <c r="AL273" s="8">
        <f>+'Gen Rev'!AI270-'Gen Exp'!AE273+'Gen Exp'!AI273-AK273</f>
        <v>5253</v>
      </c>
      <c r="AM273" s="21" t="str">
        <f>'Gen Rev'!A270</f>
        <v>Hollansburg</v>
      </c>
      <c r="AN273" s="67" t="str">
        <f t="shared" si="13"/>
        <v>Hollansburg</v>
      </c>
      <c r="AO273" s="67" t="b">
        <f t="shared" si="14"/>
        <v>1</v>
      </c>
    </row>
    <row r="274" spans="1:41" ht="12" customHeight="1" x14ac:dyDescent="0.2">
      <c r="A274" s="1" t="s">
        <v>17</v>
      </c>
      <c r="C274" s="1" t="s">
        <v>261</v>
      </c>
      <c r="E274" s="48">
        <v>0</v>
      </c>
      <c r="F274" s="48"/>
      <c r="G274" s="48">
        <v>0</v>
      </c>
      <c r="H274" s="48"/>
      <c r="I274" s="48">
        <v>0</v>
      </c>
      <c r="J274" s="48"/>
      <c r="K274" s="48">
        <v>0</v>
      </c>
      <c r="L274" s="48"/>
      <c r="M274" s="48">
        <v>4934.87</v>
      </c>
      <c r="N274" s="48"/>
      <c r="O274" s="48">
        <v>5116.3</v>
      </c>
      <c r="P274" s="48"/>
      <c r="Q274" s="48">
        <v>26006.080000000002</v>
      </c>
      <c r="R274" s="48"/>
      <c r="S274" s="48">
        <v>0</v>
      </c>
      <c r="T274" s="48"/>
      <c r="U274" s="48">
        <v>0</v>
      </c>
      <c r="V274" s="48"/>
      <c r="W274" s="48">
        <v>0</v>
      </c>
      <c r="X274" s="48"/>
      <c r="Y274" s="48">
        <v>0</v>
      </c>
      <c r="Z274" s="48"/>
      <c r="AA274" s="48">
        <v>2800</v>
      </c>
      <c r="AB274" s="48"/>
      <c r="AC274" s="48">
        <v>4580.8500000000004</v>
      </c>
      <c r="AD274" s="48"/>
      <c r="AE274" s="48">
        <f t="shared" si="15"/>
        <v>43438.1</v>
      </c>
      <c r="AG274" s="55">
        <v>-2877.66</v>
      </c>
      <c r="AI274" s="55">
        <v>38946.660000000003</v>
      </c>
      <c r="AK274" s="55">
        <v>36069</v>
      </c>
      <c r="AL274" s="8">
        <f>+'Gen Rev'!AI271-'Gen Exp'!AE274+'Gen Exp'!AI274-AK274</f>
        <v>0</v>
      </c>
      <c r="AM274" s="21" t="str">
        <f>'Gen Rev'!A271</f>
        <v>Holloway</v>
      </c>
      <c r="AN274" s="67" t="str">
        <f t="shared" si="13"/>
        <v>Holloway</v>
      </c>
      <c r="AO274" s="67" t="b">
        <f t="shared" si="14"/>
        <v>1</v>
      </c>
    </row>
    <row r="275" spans="1:41" s="67" customFormat="1" ht="12" customHeight="1" x14ac:dyDescent="0.2">
      <c r="A275" s="1" t="s">
        <v>383</v>
      </c>
      <c r="B275" s="1"/>
      <c r="C275" s="1" t="s">
        <v>382</v>
      </c>
      <c r="D275" s="1"/>
      <c r="E275" s="48">
        <v>7797.54</v>
      </c>
      <c r="F275" s="48"/>
      <c r="G275" s="48">
        <v>0</v>
      </c>
      <c r="H275" s="48"/>
      <c r="I275" s="48">
        <v>0</v>
      </c>
      <c r="J275" s="48"/>
      <c r="K275" s="48">
        <v>61.38</v>
      </c>
      <c r="L275" s="48"/>
      <c r="M275" s="48">
        <v>0</v>
      </c>
      <c r="N275" s="48"/>
      <c r="O275" s="48">
        <v>0</v>
      </c>
      <c r="P275" s="48"/>
      <c r="Q275" s="48">
        <v>29781.9</v>
      </c>
      <c r="R275" s="48"/>
      <c r="S275" s="48">
        <v>0</v>
      </c>
      <c r="T275" s="48"/>
      <c r="U275" s="48">
        <v>0</v>
      </c>
      <c r="V275" s="48"/>
      <c r="W275" s="48">
        <v>0</v>
      </c>
      <c r="X275" s="48"/>
      <c r="Y275" s="48">
        <v>3388.4</v>
      </c>
      <c r="Z275" s="48"/>
      <c r="AA275" s="48">
        <v>0</v>
      </c>
      <c r="AB275" s="48"/>
      <c r="AC275" s="48">
        <v>0</v>
      </c>
      <c r="AD275" s="48"/>
      <c r="AE275" s="48">
        <f t="shared" si="15"/>
        <v>41029.22</v>
      </c>
      <c r="AF275" s="1"/>
      <c r="AG275" s="55">
        <v>-8678.57</v>
      </c>
      <c r="AH275" s="55"/>
      <c r="AI275" s="55">
        <v>16919</v>
      </c>
      <c r="AJ275" s="55"/>
      <c r="AK275" s="55">
        <v>8240.43</v>
      </c>
      <c r="AL275" s="8">
        <f>+'Gen Rev'!AI272-'Gen Exp'!AE275+'Gen Exp'!AI275-AK275</f>
        <v>0</v>
      </c>
      <c r="AM275" s="21" t="str">
        <f>'Gen Rev'!A272</f>
        <v>Holmesville</v>
      </c>
      <c r="AN275" s="67" t="str">
        <f t="shared" si="13"/>
        <v>Holmesville</v>
      </c>
      <c r="AO275" s="67" t="b">
        <f t="shared" si="14"/>
        <v>1</v>
      </c>
    </row>
    <row r="276" spans="1:41" ht="12" customHeight="1" x14ac:dyDescent="0.2">
      <c r="A276" s="1" t="s">
        <v>96</v>
      </c>
      <c r="C276" s="1" t="s">
        <v>373</v>
      </c>
      <c r="E276" s="48">
        <v>22297.73</v>
      </c>
      <c r="F276" s="48"/>
      <c r="G276" s="48">
        <v>8477.6200000000008</v>
      </c>
      <c r="H276" s="48"/>
      <c r="I276" s="48">
        <v>0</v>
      </c>
      <c r="J276" s="48"/>
      <c r="K276" s="48">
        <v>0</v>
      </c>
      <c r="L276" s="48"/>
      <c r="M276" s="48">
        <v>20112.14</v>
      </c>
      <c r="N276" s="48"/>
      <c r="O276" s="48">
        <v>12758.37</v>
      </c>
      <c r="P276" s="48"/>
      <c r="Q276" s="48">
        <v>135539.46</v>
      </c>
      <c r="R276" s="48"/>
      <c r="S276" s="48">
        <v>0</v>
      </c>
      <c r="T276" s="48"/>
      <c r="U276" s="48">
        <v>55965.95</v>
      </c>
      <c r="V276" s="48"/>
      <c r="W276" s="48">
        <v>0</v>
      </c>
      <c r="X276" s="48"/>
      <c r="Y276" s="48">
        <v>10000</v>
      </c>
      <c r="Z276" s="48"/>
      <c r="AA276" s="48">
        <v>0</v>
      </c>
      <c r="AB276" s="48"/>
      <c r="AC276" s="48">
        <v>7812.59</v>
      </c>
      <c r="AD276" s="48"/>
      <c r="AE276" s="48">
        <f t="shared" si="15"/>
        <v>272963.86000000004</v>
      </c>
      <c r="AG276" s="55">
        <v>-40048.15</v>
      </c>
      <c r="AI276" s="55">
        <v>192254.77</v>
      </c>
      <c r="AK276" s="55">
        <v>152206.62</v>
      </c>
      <c r="AL276" s="8">
        <f>+'Gen Rev'!AI273-'Gen Exp'!AE276+'Gen Exp'!AI276-AK276</f>
        <v>0</v>
      </c>
      <c r="AM276" s="21" t="str">
        <f>'Gen Rev'!A273</f>
        <v>Hopedale</v>
      </c>
      <c r="AN276" s="67" t="str">
        <f t="shared" si="13"/>
        <v>Hopedale</v>
      </c>
      <c r="AO276" s="67" t="b">
        <f t="shared" si="14"/>
        <v>1</v>
      </c>
    </row>
    <row r="277" spans="1:41" s="67" customFormat="1" ht="12" customHeight="1" x14ac:dyDescent="0.2">
      <c r="A277" s="1" t="s">
        <v>239</v>
      </c>
      <c r="B277" s="1"/>
      <c r="C277" s="1" t="s">
        <v>558</v>
      </c>
      <c r="D277" s="1"/>
      <c r="E277" s="48">
        <v>2500</v>
      </c>
      <c r="F277" s="48"/>
      <c r="G277" s="48">
        <v>0</v>
      </c>
      <c r="H277" s="48"/>
      <c r="I277" s="48">
        <v>0</v>
      </c>
      <c r="J277" s="48"/>
      <c r="K277" s="48">
        <v>8.4</v>
      </c>
      <c r="L277" s="48"/>
      <c r="M277" s="48">
        <v>0</v>
      </c>
      <c r="N277" s="48"/>
      <c r="O277" s="48">
        <v>0</v>
      </c>
      <c r="P277" s="48"/>
      <c r="Q277" s="48">
        <v>55253.98</v>
      </c>
      <c r="R277" s="48"/>
      <c r="S277" s="48">
        <v>2295.69</v>
      </c>
      <c r="T277" s="48"/>
      <c r="U277" s="48">
        <v>0</v>
      </c>
      <c r="V277" s="48"/>
      <c r="W277" s="48">
        <v>0</v>
      </c>
      <c r="X277" s="48"/>
      <c r="Y277" s="48">
        <v>8000</v>
      </c>
      <c r="Z277" s="48"/>
      <c r="AA277" s="48">
        <v>0</v>
      </c>
      <c r="AB277" s="48"/>
      <c r="AC277" s="48">
        <v>0</v>
      </c>
      <c r="AD277" s="48"/>
      <c r="AE277" s="48">
        <f t="shared" si="15"/>
        <v>68058.070000000007</v>
      </c>
      <c r="AF277" s="1"/>
      <c r="AG277" s="55">
        <v>-35903.82</v>
      </c>
      <c r="AH277" s="55"/>
      <c r="AI277" s="55">
        <v>49523.519999999997</v>
      </c>
      <c r="AJ277" s="55"/>
      <c r="AK277" s="55">
        <v>13619.7</v>
      </c>
      <c r="AL277" s="8">
        <f>+'Gen Rev'!AI277-'Gen Exp'!AE277+'Gen Exp'!AI277-AK277</f>
        <v>0</v>
      </c>
      <c r="AM277" s="21" t="str">
        <f>'Gen Rev'!A277</f>
        <v>Hoytville</v>
      </c>
      <c r="AN277" s="67" t="str">
        <f t="shared" si="13"/>
        <v>Hoytville</v>
      </c>
      <c r="AO277" s="67" t="b">
        <f t="shared" si="14"/>
        <v>1</v>
      </c>
    </row>
    <row r="278" spans="1:41" ht="12" customHeight="1" x14ac:dyDescent="0.2">
      <c r="A278" s="1" t="s">
        <v>298</v>
      </c>
      <c r="C278" s="1" t="s">
        <v>293</v>
      </c>
      <c r="E278" s="48">
        <v>1714424</v>
      </c>
      <c r="F278" s="48"/>
      <c r="G278" s="48">
        <v>292</v>
      </c>
      <c r="H278" s="48"/>
      <c r="I278" s="48">
        <v>0</v>
      </c>
      <c r="J278" s="48"/>
      <c r="K278" s="48">
        <v>211866</v>
      </c>
      <c r="L278" s="48"/>
      <c r="M278" s="48">
        <v>118900</v>
      </c>
      <c r="N278" s="48"/>
      <c r="O278" s="48">
        <v>627859</v>
      </c>
      <c r="P278" s="48"/>
      <c r="Q278" s="48">
        <v>609957</v>
      </c>
      <c r="R278" s="48"/>
      <c r="S278" s="48">
        <v>563963</v>
      </c>
      <c r="T278" s="48"/>
      <c r="U278" s="48">
        <v>0</v>
      </c>
      <c r="V278" s="48"/>
      <c r="W278" s="48">
        <v>52354</v>
      </c>
      <c r="X278" s="48"/>
      <c r="Y278" s="48">
        <v>3596123</v>
      </c>
      <c r="Z278" s="48"/>
      <c r="AA278" s="48">
        <v>0</v>
      </c>
      <c r="AB278" s="48"/>
      <c r="AC278" s="48">
        <v>27294</v>
      </c>
      <c r="AD278" s="48"/>
      <c r="AE278" s="48">
        <f t="shared" ref="AE278:AE312" si="16">SUM(E278:AC278)</f>
        <v>7523032</v>
      </c>
      <c r="AF278" s="48"/>
      <c r="AG278" s="59"/>
      <c r="AH278" s="59"/>
      <c r="AI278" s="59"/>
      <c r="AJ278" s="59"/>
      <c r="AK278" s="59"/>
      <c r="AL278" s="8">
        <f>+'Gen Rev'!AI278-'Gen Exp'!AE278+'Gen Exp'!AI278-AK278</f>
        <v>-4598937</v>
      </c>
      <c r="AM278" s="21" t="str">
        <f>'Gen Rev'!A278</f>
        <v>Hunting Valley</v>
      </c>
      <c r="AN278" s="67" t="str">
        <f t="shared" ref="AN278:AN344" si="17">A278</f>
        <v>Hunting Valley</v>
      </c>
      <c r="AO278" s="67" t="b">
        <f t="shared" ref="AO278:AO344" si="18">AM278=AN278</f>
        <v>1</v>
      </c>
    </row>
    <row r="279" spans="1:41" ht="12" customHeight="1" x14ac:dyDescent="0.2">
      <c r="A279" s="1" t="s">
        <v>124</v>
      </c>
      <c r="C279" s="1" t="s">
        <v>414</v>
      </c>
      <c r="E279" s="48">
        <v>84786.82</v>
      </c>
      <c r="F279" s="48"/>
      <c r="G279" s="48">
        <v>0</v>
      </c>
      <c r="H279" s="48"/>
      <c r="I279" s="48">
        <v>13152.7</v>
      </c>
      <c r="J279" s="48"/>
      <c r="K279" s="48">
        <v>1876.95</v>
      </c>
      <c r="L279" s="48"/>
      <c r="M279" s="48">
        <v>2079.27</v>
      </c>
      <c r="N279" s="48"/>
      <c r="O279" s="48">
        <v>6707.98</v>
      </c>
      <c r="P279" s="48"/>
      <c r="Q279" s="48">
        <v>51097.64</v>
      </c>
      <c r="R279" s="48"/>
      <c r="S279" s="48">
        <v>1312.4</v>
      </c>
      <c r="T279" s="48"/>
      <c r="U279" s="48">
        <v>0</v>
      </c>
      <c r="V279" s="48"/>
      <c r="W279" s="48">
        <v>0</v>
      </c>
      <c r="X279" s="48"/>
      <c r="Y279" s="48">
        <v>0</v>
      </c>
      <c r="Z279" s="48"/>
      <c r="AA279" s="48">
        <v>0</v>
      </c>
      <c r="AB279" s="48"/>
      <c r="AC279" s="48">
        <v>1010.99</v>
      </c>
      <c r="AD279" s="48"/>
      <c r="AE279" s="48">
        <f t="shared" si="16"/>
        <v>162024.74999999997</v>
      </c>
      <c r="AG279" s="55">
        <v>-35173.53</v>
      </c>
      <c r="AI279" s="55">
        <v>83020.11</v>
      </c>
      <c r="AK279" s="55">
        <v>47846.58</v>
      </c>
      <c r="AL279" s="8">
        <f>+'Gen Rev'!AI279-'Gen Exp'!AE279+'Gen Exp'!AI279-AK279</f>
        <v>0</v>
      </c>
      <c r="AM279" s="21" t="str">
        <f>'Gen Rev'!A279</f>
        <v>Huntsville</v>
      </c>
      <c r="AN279" s="67" t="str">
        <f t="shared" si="17"/>
        <v>Huntsville</v>
      </c>
      <c r="AO279" s="67" t="b">
        <f t="shared" si="18"/>
        <v>1</v>
      </c>
    </row>
    <row r="280" spans="1:41" ht="12" customHeight="1" x14ac:dyDescent="0.2">
      <c r="A280" s="1" t="s">
        <v>112</v>
      </c>
      <c r="C280" s="1" t="s">
        <v>390</v>
      </c>
      <c r="E280" s="48">
        <v>7272.63</v>
      </c>
      <c r="F280" s="48"/>
      <c r="G280" s="48">
        <v>0</v>
      </c>
      <c r="H280" s="48"/>
      <c r="I280" s="48">
        <v>100</v>
      </c>
      <c r="J280" s="48"/>
      <c r="K280" s="48">
        <v>0</v>
      </c>
      <c r="L280" s="48"/>
      <c r="M280" s="48">
        <v>0</v>
      </c>
      <c r="N280" s="48"/>
      <c r="O280" s="48">
        <v>10096.379999999999</v>
      </c>
      <c r="P280" s="48"/>
      <c r="Q280" s="48">
        <v>36690.699999999997</v>
      </c>
      <c r="R280" s="48"/>
      <c r="S280" s="48">
        <v>32875</v>
      </c>
      <c r="T280" s="48"/>
      <c r="U280" s="48">
        <v>0</v>
      </c>
      <c r="V280" s="48"/>
      <c r="W280" s="48">
        <v>0</v>
      </c>
      <c r="X280" s="48"/>
      <c r="Y280" s="48">
        <v>0</v>
      </c>
      <c r="Z280" s="48"/>
      <c r="AA280" s="48">
        <v>0</v>
      </c>
      <c r="AB280" s="48"/>
      <c r="AC280" s="48">
        <v>0</v>
      </c>
      <c r="AD280" s="48"/>
      <c r="AE280" s="48">
        <f t="shared" si="16"/>
        <v>87034.709999999992</v>
      </c>
      <c r="AG280" s="55">
        <v>-14520.73</v>
      </c>
      <c r="AI280" s="55">
        <v>121415.12</v>
      </c>
      <c r="AK280" s="55">
        <v>106894.39</v>
      </c>
      <c r="AL280" s="8">
        <f>+'Gen Rev'!AI280-'Gen Exp'!AE280+'Gen Exp'!AI280-AK280</f>
        <v>0</v>
      </c>
      <c r="AM280" s="21" t="str">
        <f>'Gen Rev'!A280</f>
        <v>Irondale</v>
      </c>
      <c r="AN280" s="67" t="str">
        <f t="shared" si="17"/>
        <v>Irondale</v>
      </c>
      <c r="AO280" s="67" t="b">
        <f t="shared" si="18"/>
        <v>1</v>
      </c>
    </row>
    <row r="281" spans="1:41" s="67" customFormat="1" ht="12" customHeight="1" x14ac:dyDescent="0.2">
      <c r="A281" s="1" t="s">
        <v>637</v>
      </c>
      <c r="B281" s="1"/>
      <c r="C281" s="1" t="s">
        <v>306</v>
      </c>
      <c r="D281" s="6"/>
      <c r="E281" s="48">
        <v>2100</v>
      </c>
      <c r="F281" s="48"/>
      <c r="G281" s="48">
        <v>0</v>
      </c>
      <c r="H281" s="48"/>
      <c r="I281" s="48">
        <v>0</v>
      </c>
      <c r="J281" s="48"/>
      <c r="K281" s="48">
        <v>0</v>
      </c>
      <c r="L281" s="48"/>
      <c r="M281" s="48">
        <v>5304</v>
      </c>
      <c r="N281" s="48"/>
      <c r="O281" s="48">
        <v>0</v>
      </c>
      <c r="P281" s="48"/>
      <c r="Q281" s="48">
        <v>6630</v>
      </c>
      <c r="R281" s="48"/>
      <c r="S281" s="48">
        <v>0</v>
      </c>
      <c r="T281" s="48"/>
      <c r="U281" s="48">
        <v>0</v>
      </c>
      <c r="V281" s="48"/>
      <c r="W281" s="48">
        <v>0</v>
      </c>
      <c r="X281" s="48"/>
      <c r="Y281" s="48">
        <v>0</v>
      </c>
      <c r="Z281" s="48"/>
      <c r="AA281" s="48">
        <v>0</v>
      </c>
      <c r="AB281" s="48"/>
      <c r="AC281" s="48">
        <v>0</v>
      </c>
      <c r="AD281" s="48"/>
      <c r="AE281" s="48">
        <f t="shared" si="16"/>
        <v>14034</v>
      </c>
      <c r="AF281" s="48"/>
      <c r="AG281" s="59"/>
      <c r="AH281" s="59"/>
      <c r="AI281" s="59"/>
      <c r="AJ281" s="59"/>
      <c r="AK281" s="59"/>
      <c r="AL281" s="8">
        <f>+'Gen Rev'!AI281-'Gen Exp'!AE281+'Gen Exp'!AI281-AK281</f>
        <v>-2051</v>
      </c>
      <c r="AM281" s="21" t="str">
        <f>'Gen Rev'!A281</f>
        <v>Ithaca</v>
      </c>
      <c r="AN281" s="67" t="str">
        <f t="shared" si="17"/>
        <v>Ithaca</v>
      </c>
      <c r="AO281" s="67" t="b">
        <f t="shared" si="18"/>
        <v>1</v>
      </c>
    </row>
    <row r="282" spans="1:41" s="67" customFormat="1" ht="12" customHeight="1" x14ac:dyDescent="0.2">
      <c r="A282" s="1" t="s">
        <v>208</v>
      </c>
      <c r="B282" s="1"/>
      <c r="C282" s="1" t="s">
        <v>498</v>
      </c>
      <c r="D282" s="1"/>
      <c r="E282" s="48">
        <v>164760.82999999999</v>
      </c>
      <c r="F282" s="48"/>
      <c r="G282" s="48">
        <v>4727</v>
      </c>
      <c r="H282" s="48"/>
      <c r="I282" s="48">
        <v>5816.74</v>
      </c>
      <c r="J282" s="48"/>
      <c r="K282" s="48">
        <v>15866.08</v>
      </c>
      <c r="L282" s="48"/>
      <c r="M282" s="48">
        <v>0</v>
      </c>
      <c r="N282" s="48"/>
      <c r="O282" s="48">
        <v>64.510000000000005</v>
      </c>
      <c r="P282" s="48"/>
      <c r="Q282" s="48">
        <v>61377.64</v>
      </c>
      <c r="R282" s="48"/>
      <c r="S282" s="48">
        <v>0</v>
      </c>
      <c r="T282" s="48"/>
      <c r="U282" s="48">
        <v>0</v>
      </c>
      <c r="V282" s="48"/>
      <c r="W282" s="48">
        <v>0</v>
      </c>
      <c r="X282" s="48"/>
      <c r="Y282" s="48">
        <v>0</v>
      </c>
      <c r="Z282" s="48"/>
      <c r="AA282" s="48">
        <v>0</v>
      </c>
      <c r="AB282" s="48"/>
      <c r="AC282" s="48">
        <v>0</v>
      </c>
      <c r="AD282" s="48"/>
      <c r="AE282" s="48">
        <f t="shared" si="16"/>
        <v>252612.8</v>
      </c>
      <c r="AF282" s="1"/>
      <c r="AG282" s="55">
        <v>15542.24</v>
      </c>
      <c r="AH282" s="55"/>
      <c r="AI282" s="55">
        <v>255666.83</v>
      </c>
      <c r="AJ282" s="55"/>
      <c r="AK282" s="55">
        <v>271209.07</v>
      </c>
      <c r="AL282" s="8">
        <f>+'Gen Rev'!AI282-'Gen Exp'!AE282+'Gen Exp'!AI282-AK282</f>
        <v>0</v>
      </c>
      <c r="AM282" s="21" t="str">
        <f>'Gen Rev'!A282</f>
        <v>Jackson Center</v>
      </c>
      <c r="AN282" s="67" t="str">
        <f t="shared" si="17"/>
        <v>Jackson Center</v>
      </c>
      <c r="AO282" s="67" t="b">
        <f t="shared" si="18"/>
        <v>1</v>
      </c>
    </row>
    <row r="283" spans="1:41" ht="12" customHeight="1" x14ac:dyDescent="0.2">
      <c r="A283" s="1" t="s">
        <v>79</v>
      </c>
      <c r="C283" s="1" t="s">
        <v>345</v>
      </c>
      <c r="E283" s="48">
        <v>25369.86</v>
      </c>
      <c r="F283" s="48"/>
      <c r="G283" s="48">
        <v>3012.58</v>
      </c>
      <c r="H283" s="48"/>
      <c r="I283" s="48">
        <v>0</v>
      </c>
      <c r="J283" s="48"/>
      <c r="K283" s="48">
        <v>3290.35</v>
      </c>
      <c r="L283" s="48"/>
      <c r="M283" s="48">
        <v>46649.49</v>
      </c>
      <c r="N283" s="48"/>
      <c r="O283" s="48">
        <v>0</v>
      </c>
      <c r="P283" s="48"/>
      <c r="Q283" s="48">
        <v>177176.28</v>
      </c>
      <c r="R283" s="48"/>
      <c r="S283" s="48">
        <v>40000</v>
      </c>
      <c r="T283" s="48"/>
      <c r="U283" s="48">
        <v>0</v>
      </c>
      <c r="V283" s="48"/>
      <c r="W283" s="48">
        <v>0</v>
      </c>
      <c r="X283" s="48"/>
      <c r="Y283" s="48">
        <v>88000</v>
      </c>
      <c r="Z283" s="48"/>
      <c r="AA283" s="48">
        <v>0</v>
      </c>
      <c r="AB283" s="48"/>
      <c r="AC283" s="48">
        <v>0</v>
      </c>
      <c r="AD283" s="48"/>
      <c r="AE283" s="48">
        <f t="shared" si="16"/>
        <v>383498.56</v>
      </c>
      <c r="AG283" s="55">
        <v>-15280.68</v>
      </c>
      <c r="AI283" s="55">
        <v>568316.4</v>
      </c>
      <c r="AK283" s="55">
        <v>553035.72</v>
      </c>
      <c r="AL283" s="8">
        <f>+'Gen Rev'!AI284-'Gen Exp'!AE283+'Gen Exp'!AI283-AK283</f>
        <v>0</v>
      </c>
      <c r="AM283" s="21" t="str">
        <f>'Gen Rev'!A284</f>
        <v>Jamestown</v>
      </c>
      <c r="AN283" s="67" t="str">
        <f t="shared" si="17"/>
        <v>Jamestown</v>
      </c>
      <c r="AO283" s="67" t="b">
        <f t="shared" si="18"/>
        <v>1</v>
      </c>
    </row>
    <row r="284" spans="1:41" ht="12" customHeight="1" x14ac:dyDescent="0.2">
      <c r="A284" s="1" t="s">
        <v>638</v>
      </c>
      <c r="C284" s="1" t="s">
        <v>624</v>
      </c>
      <c r="E284" s="48">
        <v>102635</v>
      </c>
      <c r="F284" s="48"/>
      <c r="G284" s="48">
        <v>0</v>
      </c>
      <c r="H284" s="48"/>
      <c r="I284" s="48">
        <v>0</v>
      </c>
      <c r="J284" s="48"/>
      <c r="K284" s="48">
        <v>0</v>
      </c>
      <c r="L284" s="48"/>
      <c r="M284" s="48">
        <v>0</v>
      </c>
      <c r="N284" s="48"/>
      <c r="O284" s="48">
        <v>249453</v>
      </c>
      <c r="P284" s="48"/>
      <c r="Q284" s="48">
        <v>506991</v>
      </c>
      <c r="R284" s="48"/>
      <c r="S284" s="48">
        <v>0</v>
      </c>
      <c r="T284" s="48"/>
      <c r="U284" s="48">
        <v>0</v>
      </c>
      <c r="V284" s="48"/>
      <c r="W284" s="48">
        <v>0</v>
      </c>
      <c r="X284" s="48"/>
      <c r="Y284" s="48">
        <v>0</v>
      </c>
      <c r="Z284" s="48"/>
      <c r="AA284" s="48">
        <v>0</v>
      </c>
      <c r="AB284" s="48"/>
      <c r="AC284" s="48">
        <v>46000</v>
      </c>
      <c r="AD284" s="48"/>
      <c r="AE284" s="48">
        <f t="shared" si="16"/>
        <v>905079</v>
      </c>
      <c r="AF284" s="48"/>
      <c r="AG284" s="59"/>
      <c r="AH284" s="59"/>
      <c r="AI284" s="59"/>
      <c r="AJ284" s="59"/>
      <c r="AK284" s="59"/>
      <c r="AL284" s="8">
        <f>+'Gen Rev'!AI285-'Gen Exp'!AE284+'Gen Exp'!AI284-AK284</f>
        <v>-91694</v>
      </c>
      <c r="AM284" s="21" t="str">
        <f>'Gen Rev'!A285</f>
        <v xml:space="preserve">Jefferson  </v>
      </c>
      <c r="AN284" s="67" t="str">
        <f t="shared" si="17"/>
        <v xml:space="preserve">Jefferson  </v>
      </c>
      <c r="AO284" s="67" t="b">
        <f t="shared" si="18"/>
        <v>1</v>
      </c>
    </row>
    <row r="285" spans="1:41" s="5" customFormat="1" ht="12" customHeight="1" x14ac:dyDescent="0.2">
      <c r="A285" s="1" t="s">
        <v>64</v>
      </c>
      <c r="B285" s="1"/>
      <c r="C285" s="1" t="s">
        <v>334</v>
      </c>
      <c r="D285" s="1"/>
      <c r="E285" s="48">
        <v>51030.04</v>
      </c>
      <c r="F285" s="48"/>
      <c r="G285" s="48">
        <v>1026.3599999999999</v>
      </c>
      <c r="H285" s="48"/>
      <c r="I285" s="48">
        <v>0</v>
      </c>
      <c r="J285" s="48"/>
      <c r="K285" s="48">
        <v>1553.02</v>
      </c>
      <c r="L285" s="48"/>
      <c r="M285" s="48">
        <v>7840.48</v>
      </c>
      <c r="N285" s="48"/>
      <c r="O285" s="48">
        <v>0</v>
      </c>
      <c r="P285" s="48"/>
      <c r="Q285" s="48">
        <v>328454.09999999998</v>
      </c>
      <c r="R285" s="48"/>
      <c r="S285" s="48">
        <v>0</v>
      </c>
      <c r="T285" s="48"/>
      <c r="U285" s="48">
        <v>6300</v>
      </c>
      <c r="V285" s="48"/>
      <c r="W285" s="48">
        <v>0</v>
      </c>
      <c r="X285" s="48"/>
      <c r="Y285" s="48">
        <v>0</v>
      </c>
      <c r="Z285" s="48"/>
      <c r="AA285" s="48">
        <v>0</v>
      </c>
      <c r="AB285" s="48"/>
      <c r="AC285" s="48">
        <v>160.52000000000001</v>
      </c>
      <c r="AD285" s="48"/>
      <c r="AE285" s="48">
        <f t="shared" si="16"/>
        <v>396364.52</v>
      </c>
      <c r="AF285" s="1"/>
      <c r="AG285" s="55">
        <v>20750.78</v>
      </c>
      <c r="AH285" s="55"/>
      <c r="AI285" s="55">
        <v>45711.87</v>
      </c>
      <c r="AJ285" s="55"/>
      <c r="AK285" s="55">
        <v>66462.649999999994</v>
      </c>
      <c r="AL285" s="8">
        <f>+'Gen Rev'!AI286-'Gen Exp'!AE285+'Gen Exp'!AI285-AK285</f>
        <v>0</v>
      </c>
      <c r="AM285" s="21" t="str">
        <f>'Gen Rev'!A286</f>
        <v>Jeffersonville</v>
      </c>
      <c r="AN285" s="67" t="str">
        <f t="shared" si="17"/>
        <v>Jeffersonville</v>
      </c>
      <c r="AO285" s="67" t="b">
        <f t="shared" si="18"/>
        <v>1</v>
      </c>
    </row>
    <row r="286" spans="1:41" ht="12" customHeight="1" x14ac:dyDescent="0.2">
      <c r="A286" s="1" t="s">
        <v>639</v>
      </c>
      <c r="C286" s="1" t="s">
        <v>360</v>
      </c>
      <c r="D286" s="67"/>
      <c r="E286" s="48">
        <v>4800</v>
      </c>
      <c r="F286" s="48"/>
      <c r="G286" s="48">
        <v>0</v>
      </c>
      <c r="H286" s="48"/>
      <c r="I286" s="48">
        <v>14733</v>
      </c>
      <c r="J286" s="48"/>
      <c r="K286" s="48">
        <v>4166</v>
      </c>
      <c r="L286" s="48"/>
      <c r="M286" s="48">
        <v>16203</v>
      </c>
      <c r="N286" s="48"/>
      <c r="O286" s="48">
        <v>0</v>
      </c>
      <c r="P286" s="48"/>
      <c r="Q286" s="48">
        <v>30696</v>
      </c>
      <c r="R286" s="48"/>
      <c r="S286" s="48">
        <v>0</v>
      </c>
      <c r="T286" s="48"/>
      <c r="U286" s="48">
        <v>7493</v>
      </c>
      <c r="V286" s="48"/>
      <c r="W286" s="48">
        <v>2095</v>
      </c>
      <c r="X286" s="48"/>
      <c r="Y286" s="48">
        <v>0</v>
      </c>
      <c r="Z286" s="48"/>
      <c r="AA286" s="48">
        <v>0</v>
      </c>
      <c r="AB286" s="48"/>
      <c r="AC286" s="48">
        <v>0</v>
      </c>
      <c r="AD286" s="48"/>
      <c r="AE286" s="48">
        <f t="shared" si="16"/>
        <v>80186</v>
      </c>
      <c r="AF286" s="48"/>
      <c r="AG286" s="59"/>
      <c r="AH286" s="59"/>
      <c r="AI286" s="59"/>
      <c r="AJ286" s="59"/>
      <c r="AK286" s="59"/>
      <c r="AL286" s="8">
        <f>+'Gen Rev'!AI287-'Gen Exp'!AE286+'Gen Exp'!AI286-AK286</f>
        <v>19955</v>
      </c>
      <c r="AM286" s="21" t="str">
        <f>'Gen Rev'!A287</f>
        <v>Jenera</v>
      </c>
      <c r="AN286" s="67" t="str">
        <f t="shared" si="17"/>
        <v>Jenera</v>
      </c>
      <c r="AO286" s="67" t="b">
        <f t="shared" si="18"/>
        <v>1</v>
      </c>
    </row>
    <row r="287" spans="1:41" ht="12" customHeight="1" x14ac:dyDescent="0.2">
      <c r="A287" s="1" t="s">
        <v>640</v>
      </c>
      <c r="C287" s="1" t="s">
        <v>619</v>
      </c>
      <c r="D287" s="7"/>
      <c r="E287" s="48">
        <v>5495</v>
      </c>
      <c r="F287" s="48"/>
      <c r="G287" s="48">
        <v>424</v>
      </c>
      <c r="H287" s="48"/>
      <c r="I287" s="48">
        <v>8926</v>
      </c>
      <c r="J287" s="48"/>
      <c r="K287" s="48">
        <v>0</v>
      </c>
      <c r="L287" s="48"/>
      <c r="M287" s="48">
        <v>0</v>
      </c>
      <c r="N287" s="48"/>
      <c r="O287" s="48">
        <v>0</v>
      </c>
      <c r="P287" s="48"/>
      <c r="Q287" s="48">
        <v>45005</v>
      </c>
      <c r="R287" s="48"/>
      <c r="S287" s="48">
        <v>45549</v>
      </c>
      <c r="T287" s="48"/>
      <c r="U287" s="48">
        <v>332</v>
      </c>
      <c r="V287" s="48"/>
      <c r="W287" s="48">
        <v>47</v>
      </c>
      <c r="X287" s="48"/>
      <c r="Y287" s="48">
        <v>0</v>
      </c>
      <c r="Z287" s="48"/>
      <c r="AA287" s="48">
        <v>0</v>
      </c>
      <c r="AB287" s="48"/>
      <c r="AC287" s="48">
        <v>564</v>
      </c>
      <c r="AD287" s="48"/>
      <c r="AE287" s="48">
        <f t="shared" si="16"/>
        <v>106342</v>
      </c>
      <c r="AF287" s="48"/>
      <c r="AG287" s="59"/>
      <c r="AH287" s="59"/>
      <c r="AI287" s="59"/>
      <c r="AJ287" s="59"/>
      <c r="AK287" s="59"/>
      <c r="AL287" s="8">
        <f>+'Gen Rev'!AI288-'Gen Exp'!AE287+'Gen Exp'!AI287-AK287</f>
        <v>-15885</v>
      </c>
      <c r="AM287" s="21" t="str">
        <f>'Gen Rev'!A288</f>
        <v>Jeromesville</v>
      </c>
      <c r="AN287" s="67" t="str">
        <f t="shared" si="17"/>
        <v>Jeromesville</v>
      </c>
      <c r="AO287" s="67" t="b">
        <f t="shared" si="18"/>
        <v>1</v>
      </c>
    </row>
    <row r="288" spans="1:41" s="67" customFormat="1" ht="12" customHeight="1" x14ac:dyDescent="0.2">
      <c r="A288" s="1" t="s">
        <v>641</v>
      </c>
      <c r="B288" s="1"/>
      <c r="C288" s="1" t="s">
        <v>558</v>
      </c>
      <c r="D288" s="1"/>
      <c r="E288" s="48">
        <v>107</v>
      </c>
      <c r="F288" s="48"/>
      <c r="G288" s="48">
        <v>0</v>
      </c>
      <c r="H288" s="48"/>
      <c r="I288" s="48">
        <v>10210.86</v>
      </c>
      <c r="J288" s="48"/>
      <c r="K288" s="48">
        <v>68.86</v>
      </c>
      <c r="L288" s="48"/>
      <c r="M288" s="48">
        <v>0</v>
      </c>
      <c r="N288" s="48"/>
      <c r="O288" s="48">
        <v>0</v>
      </c>
      <c r="P288" s="48"/>
      <c r="Q288" s="48">
        <v>29362.41</v>
      </c>
      <c r="R288" s="48"/>
      <c r="S288" s="48">
        <v>0</v>
      </c>
      <c r="T288" s="48"/>
      <c r="U288" s="48">
        <v>0</v>
      </c>
      <c r="V288" s="48"/>
      <c r="W288" s="48">
        <v>0</v>
      </c>
      <c r="X288" s="48"/>
      <c r="Y288" s="48">
        <v>0</v>
      </c>
      <c r="Z288" s="48"/>
      <c r="AA288" s="48">
        <v>0</v>
      </c>
      <c r="AB288" s="48"/>
      <c r="AC288" s="48">
        <v>0</v>
      </c>
      <c r="AD288" s="48"/>
      <c r="AE288" s="48">
        <f t="shared" si="16"/>
        <v>39749.130000000005</v>
      </c>
      <c r="AF288" s="1"/>
      <c r="AG288" s="55">
        <v>24270.85</v>
      </c>
      <c r="AH288" s="55"/>
      <c r="AI288" s="55">
        <v>11394.11</v>
      </c>
      <c r="AJ288" s="55"/>
      <c r="AK288" s="55">
        <v>35664.959999999999</v>
      </c>
      <c r="AL288" s="8">
        <f>+'Gen Rev'!AI289-'Gen Exp'!AE288+'Gen Exp'!AI288-AK288</f>
        <v>0</v>
      </c>
      <c r="AM288" s="21" t="str">
        <f>'Gen Rev'!A289</f>
        <v>Jerry City</v>
      </c>
      <c r="AN288" s="67" t="str">
        <f t="shared" si="17"/>
        <v>Jerry City</v>
      </c>
      <c r="AO288" s="67" t="b">
        <f t="shared" si="18"/>
        <v>1</v>
      </c>
    </row>
    <row r="289" spans="1:41" s="67" customFormat="1" ht="12" customHeight="1" x14ac:dyDescent="0.2">
      <c r="A289" s="1" t="s">
        <v>846</v>
      </c>
      <c r="B289" s="1"/>
      <c r="C289" s="1" t="s">
        <v>441</v>
      </c>
      <c r="D289" s="7"/>
      <c r="E289" s="48">
        <v>3067</v>
      </c>
      <c r="F289" s="48"/>
      <c r="G289" s="48">
        <v>350</v>
      </c>
      <c r="H289" s="48"/>
      <c r="I289" s="48">
        <v>0</v>
      </c>
      <c r="J289" s="48"/>
      <c r="K289" s="48">
        <v>0</v>
      </c>
      <c r="L289" s="48"/>
      <c r="M289" s="48">
        <v>1586</v>
      </c>
      <c r="N289" s="48"/>
      <c r="O289" s="48">
        <v>0</v>
      </c>
      <c r="P289" s="48"/>
      <c r="Q289" s="48">
        <v>5549</v>
      </c>
      <c r="R289" s="48"/>
      <c r="S289" s="48">
        <v>0</v>
      </c>
      <c r="T289" s="48"/>
      <c r="U289" s="48">
        <v>0</v>
      </c>
      <c r="V289" s="48"/>
      <c r="W289" s="48">
        <v>0</v>
      </c>
      <c r="X289" s="48"/>
      <c r="Y289" s="48">
        <v>0</v>
      </c>
      <c r="Z289" s="48"/>
      <c r="AA289" s="48">
        <v>0</v>
      </c>
      <c r="AB289" s="48"/>
      <c r="AC289" s="48">
        <v>0</v>
      </c>
      <c r="AD289" s="48"/>
      <c r="AE289" s="48">
        <f t="shared" si="16"/>
        <v>10552</v>
      </c>
      <c r="AF289" s="48"/>
      <c r="AG289" s="59"/>
      <c r="AH289" s="59"/>
      <c r="AI289" s="59"/>
      <c r="AJ289" s="59"/>
      <c r="AK289" s="59"/>
      <c r="AL289" s="8">
        <f>+'Gen Rev'!AI290-'Gen Exp'!AE289+'Gen Exp'!AI289-AK289</f>
        <v>13745</v>
      </c>
      <c r="AM289" s="21" t="str">
        <f>'Gen Rev'!A290</f>
        <v>Jerusalem</v>
      </c>
      <c r="AN289" s="67" t="str">
        <f t="shared" si="17"/>
        <v>Jerusalem</v>
      </c>
      <c r="AO289" s="67" t="b">
        <f t="shared" si="18"/>
        <v>1</v>
      </c>
    </row>
    <row r="290" spans="1:41" ht="12" customHeight="1" x14ac:dyDescent="0.2">
      <c r="A290" s="1" t="s">
        <v>97</v>
      </c>
      <c r="C290" s="1" t="s">
        <v>373</v>
      </c>
      <c r="E290" s="48">
        <v>35925.599999999999</v>
      </c>
      <c r="F290" s="48"/>
      <c r="G290" s="48">
        <v>0</v>
      </c>
      <c r="H290" s="48"/>
      <c r="I290" s="48">
        <v>0</v>
      </c>
      <c r="J290" s="48"/>
      <c r="K290" s="48">
        <v>0</v>
      </c>
      <c r="L290" s="48"/>
      <c r="M290" s="48">
        <v>0</v>
      </c>
      <c r="N290" s="48"/>
      <c r="O290" s="48">
        <v>0</v>
      </c>
      <c r="P290" s="48"/>
      <c r="Q290" s="48">
        <v>88449.78</v>
      </c>
      <c r="R290" s="48"/>
      <c r="S290" s="48">
        <v>0</v>
      </c>
      <c r="T290" s="48"/>
      <c r="U290" s="48">
        <v>17107.22</v>
      </c>
      <c r="V290" s="48"/>
      <c r="W290" s="48">
        <v>92.62</v>
      </c>
      <c r="X290" s="48"/>
      <c r="Y290" s="48">
        <v>0</v>
      </c>
      <c r="Z290" s="48"/>
      <c r="AA290" s="48">
        <v>0</v>
      </c>
      <c r="AB290" s="48"/>
      <c r="AC290" s="48">
        <v>14.52</v>
      </c>
      <c r="AD290" s="48"/>
      <c r="AE290" s="48">
        <f t="shared" si="16"/>
        <v>141589.74</v>
      </c>
      <c r="AG290" s="55">
        <v>17380.21</v>
      </c>
      <c r="AI290" s="55">
        <v>57246.92</v>
      </c>
      <c r="AK290" s="55">
        <v>74627.13</v>
      </c>
      <c r="AL290" s="8">
        <f>+'Gen Rev'!AI291-'Gen Exp'!AE290+'Gen Exp'!AI290-AK290</f>
        <v>0</v>
      </c>
      <c r="AM290" s="21" t="str">
        <f>'Gen Rev'!A291</f>
        <v>Jewett</v>
      </c>
      <c r="AN290" s="67" t="str">
        <f t="shared" si="17"/>
        <v>Jewett</v>
      </c>
      <c r="AO290" s="67" t="b">
        <f t="shared" si="18"/>
        <v>1</v>
      </c>
    </row>
    <row r="291" spans="1:41" ht="12" customHeight="1" x14ac:dyDescent="0.2">
      <c r="A291" s="1" t="s">
        <v>642</v>
      </c>
      <c r="C291" s="1" t="s">
        <v>464</v>
      </c>
      <c r="E291" s="48">
        <v>27711</v>
      </c>
      <c r="F291" s="48"/>
      <c r="G291" s="48">
        <v>0</v>
      </c>
      <c r="H291" s="48"/>
      <c r="I291" s="48">
        <v>0</v>
      </c>
      <c r="J291" s="48"/>
      <c r="K291" s="48">
        <v>0</v>
      </c>
      <c r="L291" s="48"/>
      <c r="M291" s="48">
        <v>12956</v>
      </c>
      <c r="N291" s="48"/>
      <c r="O291" s="48">
        <v>5663</v>
      </c>
      <c r="P291" s="48"/>
      <c r="Q291" s="48">
        <v>15951</v>
      </c>
      <c r="R291" s="48"/>
      <c r="S291" s="48">
        <v>0</v>
      </c>
      <c r="T291" s="48"/>
      <c r="U291" s="48">
        <v>0</v>
      </c>
      <c r="V291" s="48"/>
      <c r="W291" s="48">
        <v>0</v>
      </c>
      <c r="X291" s="48"/>
      <c r="Y291" s="48">
        <v>0</v>
      </c>
      <c r="Z291" s="48"/>
      <c r="AA291" s="48">
        <v>0</v>
      </c>
      <c r="AB291" s="48"/>
      <c r="AC291" s="48">
        <v>0</v>
      </c>
      <c r="AD291" s="48"/>
      <c r="AE291" s="48">
        <f t="shared" si="16"/>
        <v>62281</v>
      </c>
      <c r="AF291" s="48"/>
      <c r="AG291" s="59"/>
      <c r="AH291" s="59"/>
      <c r="AI291" s="59"/>
      <c r="AJ291" s="59"/>
      <c r="AK291" s="59"/>
      <c r="AL291" s="8">
        <f>+'Gen Rev'!AI292-'Gen Exp'!AE291+'Gen Exp'!AI291-AK291</f>
        <v>5661</v>
      </c>
      <c r="AM291" s="21" t="str">
        <f>'Gen Rev'!A292</f>
        <v>Junction City</v>
      </c>
      <c r="AN291" s="67" t="str">
        <f t="shared" si="17"/>
        <v>Junction City</v>
      </c>
      <c r="AO291" s="67" t="b">
        <f t="shared" si="18"/>
        <v>1</v>
      </c>
    </row>
    <row r="292" spans="1:41" ht="12" customHeight="1" x14ac:dyDescent="0.2">
      <c r="A292" s="1" t="s">
        <v>712</v>
      </c>
      <c r="C292" s="1" t="s">
        <v>476</v>
      </c>
      <c r="E292" s="48">
        <v>59570.38</v>
      </c>
      <c r="F292" s="48"/>
      <c r="G292" s="48">
        <v>0</v>
      </c>
      <c r="H292" s="48"/>
      <c r="I292" s="48">
        <v>6000</v>
      </c>
      <c r="J292" s="48"/>
      <c r="K292" s="48">
        <v>0</v>
      </c>
      <c r="L292" s="48"/>
      <c r="M292" s="48">
        <v>681.89</v>
      </c>
      <c r="N292" s="48"/>
      <c r="O292" s="48">
        <v>0</v>
      </c>
      <c r="P292" s="48"/>
      <c r="Q292" s="48">
        <v>261747.97</v>
      </c>
      <c r="R292" s="48"/>
      <c r="S292" s="48">
        <v>24735.4</v>
      </c>
      <c r="T292" s="48"/>
      <c r="U292" s="48">
        <v>0</v>
      </c>
      <c r="V292" s="48"/>
      <c r="W292" s="48">
        <v>0</v>
      </c>
      <c r="X292" s="48"/>
      <c r="Y292" s="48">
        <v>700204.64</v>
      </c>
      <c r="Z292" s="48"/>
      <c r="AA292" s="48">
        <v>391246</v>
      </c>
      <c r="AB292" s="48"/>
      <c r="AC292" s="48">
        <v>0</v>
      </c>
      <c r="AD292" s="48"/>
      <c r="AE292" s="48">
        <f t="shared" si="16"/>
        <v>1444186.28</v>
      </c>
      <c r="AG292" s="55">
        <v>-134163.62</v>
      </c>
      <c r="AI292" s="55">
        <v>1450702.14</v>
      </c>
      <c r="AK292" s="55">
        <v>1316538.52</v>
      </c>
      <c r="AL292" s="8">
        <f>+'Gen Rev'!AI293-'Gen Exp'!AE292+'Gen Exp'!AI292-AK292</f>
        <v>0</v>
      </c>
      <c r="AM292" s="21" t="str">
        <f>'Gen Rev'!A293</f>
        <v>Kalida</v>
      </c>
      <c r="AN292" s="67" t="str">
        <f t="shared" si="17"/>
        <v>Kalida</v>
      </c>
      <c r="AO292" s="67" t="b">
        <f t="shared" si="18"/>
        <v>1</v>
      </c>
    </row>
    <row r="293" spans="1:41" s="66" customFormat="1" ht="12" customHeight="1" x14ac:dyDescent="0.2">
      <c r="A293" s="1" t="s">
        <v>643</v>
      </c>
      <c r="B293" s="1"/>
      <c r="C293" s="1" t="s">
        <v>325</v>
      </c>
      <c r="D293" s="1"/>
      <c r="E293" s="48">
        <v>174418</v>
      </c>
      <c r="F293" s="48"/>
      <c r="G293" s="48">
        <v>2611</v>
      </c>
      <c r="H293" s="48"/>
      <c r="I293" s="48">
        <v>0</v>
      </c>
      <c r="J293" s="48"/>
      <c r="K293" s="48">
        <v>15603</v>
      </c>
      <c r="L293" s="48"/>
      <c r="M293" s="48">
        <v>0</v>
      </c>
      <c r="N293" s="48"/>
      <c r="O293" s="48">
        <v>2171</v>
      </c>
      <c r="P293" s="48"/>
      <c r="Q293" s="48">
        <v>296711</v>
      </c>
      <c r="R293" s="48"/>
      <c r="S293" s="48">
        <v>3531</v>
      </c>
      <c r="T293" s="48"/>
      <c r="U293" s="48">
        <v>0</v>
      </c>
      <c r="V293" s="48"/>
      <c r="W293" s="48">
        <v>0</v>
      </c>
      <c r="X293" s="48"/>
      <c r="Y293" s="48">
        <v>11</v>
      </c>
      <c r="Z293" s="48"/>
      <c r="AA293" s="48">
        <v>0</v>
      </c>
      <c r="AB293" s="48"/>
      <c r="AC293" s="48">
        <v>506</v>
      </c>
      <c r="AD293" s="48"/>
      <c r="AE293" s="48">
        <f t="shared" si="16"/>
        <v>495562</v>
      </c>
      <c r="AF293" s="48"/>
      <c r="AG293" s="59"/>
      <c r="AH293" s="59"/>
      <c r="AI293" s="59"/>
      <c r="AJ293" s="59"/>
      <c r="AK293" s="59"/>
      <c r="AL293" s="8">
        <f>+'Gen Rev'!AI294-'Gen Exp'!AE293+'Gen Exp'!AI293-AK293</f>
        <v>96063</v>
      </c>
      <c r="AM293" s="21" t="str">
        <f>'Gen Rev'!A294</f>
        <v>Kelley's Island</v>
      </c>
      <c r="AN293" s="67" t="str">
        <f t="shared" si="17"/>
        <v>Kelley's Island</v>
      </c>
      <c r="AO293" s="67" t="b">
        <f t="shared" si="18"/>
        <v>1</v>
      </c>
    </row>
    <row r="294" spans="1:41" ht="12" customHeight="1" x14ac:dyDescent="0.2">
      <c r="A294" s="1" t="s">
        <v>832</v>
      </c>
      <c r="C294" s="1" t="s">
        <v>498</v>
      </c>
      <c r="D294" s="6"/>
      <c r="E294" s="48">
        <v>5016</v>
      </c>
      <c r="F294" s="48"/>
      <c r="G294" s="48">
        <v>617</v>
      </c>
      <c r="H294" s="48"/>
      <c r="I294" s="48">
        <v>0</v>
      </c>
      <c r="J294" s="48"/>
      <c r="K294" s="48">
        <v>72</v>
      </c>
      <c r="L294" s="48"/>
      <c r="M294" s="48">
        <v>0</v>
      </c>
      <c r="N294" s="48"/>
      <c r="O294" s="48">
        <v>11619</v>
      </c>
      <c r="P294" s="48"/>
      <c r="Q294" s="48">
        <v>20809</v>
      </c>
      <c r="R294" s="48"/>
      <c r="S294" s="48">
        <v>0</v>
      </c>
      <c r="T294" s="48"/>
      <c r="U294" s="48">
        <v>0</v>
      </c>
      <c r="V294" s="48"/>
      <c r="W294" s="48">
        <v>0</v>
      </c>
      <c r="X294" s="48"/>
      <c r="Y294" s="48">
        <v>0</v>
      </c>
      <c r="Z294" s="48"/>
      <c r="AA294" s="48">
        <v>0</v>
      </c>
      <c r="AB294" s="48"/>
      <c r="AC294" s="48">
        <v>0</v>
      </c>
      <c r="AD294" s="48"/>
      <c r="AE294" s="48">
        <f t="shared" si="16"/>
        <v>38133</v>
      </c>
      <c r="AF294" s="48"/>
      <c r="AG294" s="59"/>
      <c r="AH294" s="59"/>
      <c r="AI294" s="59"/>
      <c r="AJ294" s="59"/>
      <c r="AK294" s="59"/>
      <c r="AL294" s="8">
        <f>+'Gen Rev'!AI295-'Gen Exp'!AE294+'Gen Exp'!AI294-AK294</f>
        <v>-7959</v>
      </c>
      <c r="AM294" s="21" t="str">
        <f>'Gen Rev'!A295</f>
        <v>Kettlersville</v>
      </c>
      <c r="AN294" s="67" t="str">
        <f t="shared" si="17"/>
        <v>Kettlersville</v>
      </c>
      <c r="AO294" s="67" t="b">
        <f t="shared" si="18"/>
        <v>1</v>
      </c>
    </row>
    <row r="295" spans="1:41" s="67" customFormat="1" ht="12" customHeight="1" x14ac:dyDescent="0.2">
      <c r="A295" s="1" t="s">
        <v>770</v>
      </c>
      <c r="B295" s="1"/>
      <c r="C295" s="1" t="s">
        <v>382</v>
      </c>
      <c r="D295" s="7"/>
      <c r="E295" s="48">
        <v>23555</v>
      </c>
      <c r="F295" s="48"/>
      <c r="G295" s="48">
        <v>1638</v>
      </c>
      <c r="H295" s="48"/>
      <c r="I295" s="48">
        <v>28052</v>
      </c>
      <c r="J295" s="48"/>
      <c r="K295" s="48">
        <v>0</v>
      </c>
      <c r="L295" s="48"/>
      <c r="M295" s="48">
        <v>5461</v>
      </c>
      <c r="N295" s="48"/>
      <c r="O295" s="48">
        <v>44371</v>
      </c>
      <c r="P295" s="48"/>
      <c r="Q295" s="48">
        <v>67799</v>
      </c>
      <c r="R295" s="48"/>
      <c r="S295" s="48">
        <v>0</v>
      </c>
      <c r="T295" s="48"/>
      <c r="U295" s="48">
        <v>0</v>
      </c>
      <c r="V295" s="48"/>
      <c r="W295" s="48">
        <v>0</v>
      </c>
      <c r="X295" s="48"/>
      <c r="Y295" s="48">
        <v>0</v>
      </c>
      <c r="Z295" s="48"/>
      <c r="AA295" s="48">
        <v>0</v>
      </c>
      <c r="AB295" s="48"/>
      <c r="AC295" s="48">
        <v>0</v>
      </c>
      <c r="AD295" s="48"/>
      <c r="AE295" s="48">
        <f t="shared" si="16"/>
        <v>170876</v>
      </c>
      <c r="AF295" s="48"/>
      <c r="AG295" s="59"/>
      <c r="AH295" s="59"/>
      <c r="AI295" s="59"/>
      <c r="AJ295" s="59"/>
      <c r="AK295" s="59"/>
      <c r="AL295" s="8">
        <f>+'Gen Rev'!AI296-'Gen Exp'!AE295+'Gen Exp'!AI295-AK295</f>
        <v>84331</v>
      </c>
      <c r="AM295" s="21" t="str">
        <f>'Gen Rev'!A296</f>
        <v>Killbuck</v>
      </c>
      <c r="AN295" s="67" t="str">
        <f t="shared" si="17"/>
        <v>Killbuck</v>
      </c>
      <c r="AO295" s="67" t="b">
        <f t="shared" si="18"/>
        <v>1</v>
      </c>
    </row>
    <row r="296" spans="1:41" ht="12" customHeight="1" x14ac:dyDescent="0.2">
      <c r="A296" s="1" t="s">
        <v>198</v>
      </c>
      <c r="C296" s="1" t="s">
        <v>485</v>
      </c>
      <c r="E296" s="48">
        <v>8824.2099999999991</v>
      </c>
      <c r="F296" s="48"/>
      <c r="G296" s="48">
        <v>0</v>
      </c>
      <c r="H296" s="48"/>
      <c r="I296" s="48">
        <v>0</v>
      </c>
      <c r="J296" s="48"/>
      <c r="K296" s="48">
        <v>38264</v>
      </c>
      <c r="L296" s="48"/>
      <c r="M296" s="48">
        <v>25000</v>
      </c>
      <c r="N296" s="48"/>
      <c r="O296" s="48">
        <v>0</v>
      </c>
      <c r="P296" s="48"/>
      <c r="Q296" s="48">
        <v>60273.14</v>
      </c>
      <c r="R296" s="48"/>
      <c r="S296" s="48">
        <v>0</v>
      </c>
      <c r="T296" s="48"/>
      <c r="U296" s="48">
        <v>0</v>
      </c>
      <c r="V296" s="48"/>
      <c r="W296" s="48">
        <v>0</v>
      </c>
      <c r="X296" s="48"/>
      <c r="Y296" s="48">
        <v>0</v>
      </c>
      <c r="Z296" s="48"/>
      <c r="AA296" s="48">
        <v>0</v>
      </c>
      <c r="AB296" s="48"/>
      <c r="AC296" s="48">
        <v>0</v>
      </c>
      <c r="AD296" s="48"/>
      <c r="AE296" s="48">
        <f t="shared" si="16"/>
        <v>132361.34999999998</v>
      </c>
      <c r="AG296" s="55">
        <v>101266.09</v>
      </c>
      <c r="AI296" s="55">
        <v>338476.54</v>
      </c>
      <c r="AK296" s="55">
        <v>439742.63</v>
      </c>
      <c r="AL296" s="8">
        <f>+'Gen Rev'!AI297-'Gen Exp'!AE296+'Gen Exp'!AI296-AK296</f>
        <v>0</v>
      </c>
      <c r="AM296" s="21" t="str">
        <f>'Gen Rev'!A297</f>
        <v>Kingston</v>
      </c>
      <c r="AN296" s="67" t="str">
        <f t="shared" si="17"/>
        <v>Kingston</v>
      </c>
      <c r="AO296" s="67" t="b">
        <f t="shared" si="18"/>
        <v>1</v>
      </c>
    </row>
    <row r="297" spans="1:41" ht="12" customHeight="1" x14ac:dyDescent="0.2">
      <c r="A297" s="1" t="s">
        <v>127</v>
      </c>
      <c r="C297" s="1" t="s">
        <v>419</v>
      </c>
      <c r="E297" s="48">
        <v>15390.47</v>
      </c>
      <c r="F297" s="48"/>
      <c r="G297" s="48">
        <v>0</v>
      </c>
      <c r="H297" s="48"/>
      <c r="I297" s="48">
        <v>1761.01</v>
      </c>
      <c r="J297" s="48"/>
      <c r="K297" s="48">
        <v>0</v>
      </c>
      <c r="L297" s="48"/>
      <c r="M297" s="48">
        <v>0</v>
      </c>
      <c r="N297" s="48"/>
      <c r="O297" s="48">
        <v>0</v>
      </c>
      <c r="P297" s="48"/>
      <c r="Q297" s="48">
        <v>30618.06</v>
      </c>
      <c r="R297" s="48"/>
      <c r="S297" s="48">
        <v>0</v>
      </c>
      <c r="T297" s="48"/>
      <c r="U297" s="48">
        <v>10894.24</v>
      </c>
      <c r="V297" s="48"/>
      <c r="W297" s="48">
        <v>137.96</v>
      </c>
      <c r="X297" s="48"/>
      <c r="Y297" s="48">
        <v>900</v>
      </c>
      <c r="Z297" s="48"/>
      <c r="AA297" s="48">
        <v>0</v>
      </c>
      <c r="AB297" s="48"/>
      <c r="AC297" s="48">
        <v>0</v>
      </c>
      <c r="AD297" s="48"/>
      <c r="AE297" s="48">
        <f t="shared" si="16"/>
        <v>59701.74</v>
      </c>
      <c r="AG297" s="55">
        <v>-23482.93</v>
      </c>
      <c r="AI297" s="55">
        <v>30166.35</v>
      </c>
      <c r="AK297" s="55">
        <v>6683.42</v>
      </c>
      <c r="AL297" s="8">
        <f>+'Gen Rev'!AI298-'Gen Exp'!AE297+'Gen Exp'!AI297-AK297</f>
        <v>0</v>
      </c>
      <c r="AM297" s="21" t="str">
        <f>'Gen Rev'!A298</f>
        <v>Kipton</v>
      </c>
      <c r="AN297" s="67" t="str">
        <f t="shared" si="17"/>
        <v>Kipton</v>
      </c>
      <c r="AO297" s="67" t="b">
        <f t="shared" si="18"/>
        <v>1</v>
      </c>
    </row>
    <row r="298" spans="1:41" ht="12" customHeight="1" x14ac:dyDescent="0.2">
      <c r="A298" s="1" t="s">
        <v>247</v>
      </c>
      <c r="C298" s="1" t="s">
        <v>566</v>
      </c>
      <c r="E298" s="48">
        <v>7281.78</v>
      </c>
      <c r="F298" s="48"/>
      <c r="G298" s="48">
        <v>649.95000000000005</v>
      </c>
      <c r="H298" s="48"/>
      <c r="I298" s="48">
        <v>0</v>
      </c>
      <c r="J298" s="48"/>
      <c r="K298" s="48">
        <v>0</v>
      </c>
      <c r="L298" s="48"/>
      <c r="M298" s="48">
        <v>0</v>
      </c>
      <c r="N298" s="48"/>
      <c r="O298" s="48">
        <v>723.18</v>
      </c>
      <c r="P298" s="48"/>
      <c r="Q298" s="48">
        <v>10066.68</v>
      </c>
      <c r="R298" s="48"/>
      <c r="S298" s="48">
        <v>0</v>
      </c>
      <c r="T298" s="48"/>
      <c r="U298" s="48">
        <v>0</v>
      </c>
      <c r="V298" s="48"/>
      <c r="W298" s="48">
        <v>0</v>
      </c>
      <c r="X298" s="48"/>
      <c r="Y298" s="48">
        <v>0</v>
      </c>
      <c r="Z298" s="48"/>
      <c r="AA298" s="48">
        <v>0</v>
      </c>
      <c r="AB298" s="48"/>
      <c r="AC298" s="48">
        <v>0</v>
      </c>
      <c r="AD298" s="48"/>
      <c r="AE298" s="48">
        <f t="shared" si="16"/>
        <v>18721.59</v>
      </c>
      <c r="AG298" s="55">
        <v>-2714.29</v>
      </c>
      <c r="AI298" s="55">
        <v>34462.639999999999</v>
      </c>
      <c r="AK298" s="55">
        <v>31748.35</v>
      </c>
      <c r="AL298" s="8">
        <f>+'Gen Rev'!AI299-'Gen Exp'!AE298+'Gen Exp'!AI298-AK298</f>
        <v>0</v>
      </c>
      <c r="AM298" s="21" t="str">
        <f>'Gen Rev'!A299</f>
        <v>Kirby</v>
      </c>
      <c r="AN298" s="67" t="str">
        <f t="shared" si="17"/>
        <v>Kirby</v>
      </c>
      <c r="AO298" s="67" t="b">
        <f t="shared" si="18"/>
        <v>1</v>
      </c>
    </row>
    <row r="299" spans="1:41" s="6" customFormat="1" ht="12" customHeight="1" x14ac:dyDescent="0.2">
      <c r="A299" s="1" t="s">
        <v>644</v>
      </c>
      <c r="B299" s="1"/>
      <c r="C299" s="1" t="s">
        <v>408</v>
      </c>
      <c r="D299" s="1"/>
      <c r="E299" s="48">
        <v>23309.53</v>
      </c>
      <c r="F299" s="48"/>
      <c r="G299" s="48">
        <v>0</v>
      </c>
      <c r="H299" s="48"/>
      <c r="I299" s="48">
        <v>0</v>
      </c>
      <c r="J299" s="48"/>
      <c r="K299" s="48">
        <v>263.77999999999997</v>
      </c>
      <c r="L299" s="48"/>
      <c r="M299" s="48">
        <v>0</v>
      </c>
      <c r="N299" s="48"/>
      <c r="O299" s="48">
        <v>0</v>
      </c>
      <c r="P299" s="48"/>
      <c r="Q299" s="48">
        <v>103838.96</v>
      </c>
      <c r="R299" s="48"/>
      <c r="S299" s="48">
        <v>0</v>
      </c>
      <c r="T299" s="48"/>
      <c r="U299" s="48">
        <v>0</v>
      </c>
      <c r="V299" s="48"/>
      <c r="W299" s="48">
        <v>0</v>
      </c>
      <c r="X299" s="48"/>
      <c r="Y299" s="48">
        <v>0</v>
      </c>
      <c r="Z299" s="48"/>
      <c r="AA299" s="48">
        <v>0</v>
      </c>
      <c r="AB299" s="48"/>
      <c r="AC299" s="48">
        <v>0</v>
      </c>
      <c r="AD299" s="48"/>
      <c r="AE299" s="48">
        <f t="shared" si="16"/>
        <v>127412.27</v>
      </c>
      <c r="AF299" s="1"/>
      <c r="AG299" s="55">
        <v>6206.96</v>
      </c>
      <c r="AH299" s="55"/>
      <c r="AI299" s="55">
        <v>1709.84</v>
      </c>
      <c r="AJ299" s="55"/>
      <c r="AK299" s="55">
        <v>7916.8</v>
      </c>
      <c r="AL299" s="8">
        <f>+'Gen Rev'!AI300-'Gen Exp'!AE299+'Gen Exp'!AI299-AK299</f>
        <v>-2.2737367544323206E-11</v>
      </c>
      <c r="AM299" s="21" t="str">
        <f>'Gen Rev'!A300</f>
        <v>Kirkersville</v>
      </c>
      <c r="AN299" s="67" t="str">
        <f t="shared" si="17"/>
        <v>Kirkersville</v>
      </c>
      <c r="AO299" s="67" t="b">
        <f t="shared" si="18"/>
        <v>1</v>
      </c>
    </row>
    <row r="300" spans="1:41" s="5" customFormat="1" ht="12" customHeight="1" x14ac:dyDescent="0.2">
      <c r="A300" s="1" t="s">
        <v>783</v>
      </c>
      <c r="B300" s="1"/>
      <c r="C300" s="1" t="s">
        <v>399</v>
      </c>
      <c r="D300" s="1"/>
      <c r="E300" s="48">
        <v>1264429</v>
      </c>
      <c r="F300" s="48"/>
      <c r="G300" s="48">
        <v>15992</v>
      </c>
      <c r="H300" s="48"/>
      <c r="I300" s="48">
        <v>1501</v>
      </c>
      <c r="J300" s="48"/>
      <c r="K300" s="48">
        <v>550</v>
      </c>
      <c r="L300" s="48"/>
      <c r="M300" s="48">
        <v>66337</v>
      </c>
      <c r="N300" s="48"/>
      <c r="O300" s="48">
        <v>343155</v>
      </c>
      <c r="P300" s="48"/>
      <c r="Q300" s="48">
        <v>232542</v>
      </c>
      <c r="R300" s="48"/>
      <c r="S300" s="48">
        <v>0</v>
      </c>
      <c r="T300" s="48"/>
      <c r="U300" s="48">
        <v>0</v>
      </c>
      <c r="V300" s="48"/>
      <c r="W300" s="48">
        <v>0</v>
      </c>
      <c r="X300" s="48"/>
      <c r="Y300" s="48">
        <v>41094</v>
      </c>
      <c r="Z300" s="48"/>
      <c r="AA300" s="48">
        <v>0</v>
      </c>
      <c r="AB300" s="48"/>
      <c r="AC300" s="48">
        <v>0</v>
      </c>
      <c r="AD300" s="48"/>
      <c r="AE300" s="48">
        <f t="shared" si="16"/>
        <v>1965600</v>
      </c>
      <c r="AF300" s="48"/>
      <c r="AG300" s="59"/>
      <c r="AH300" s="59"/>
      <c r="AI300" s="59"/>
      <c r="AJ300" s="59"/>
      <c r="AK300" s="59"/>
      <c r="AL300" s="8">
        <f>+'Gen Rev'!AI301-'Gen Exp'!AE300+'Gen Exp'!AI300-AK300</f>
        <v>-307482</v>
      </c>
      <c r="AM300" s="21" t="str">
        <f>'Gen Rev'!A301</f>
        <v>Kirtland Hills</v>
      </c>
      <c r="AN300" s="67" t="str">
        <f t="shared" si="17"/>
        <v>Kirtland Hills</v>
      </c>
      <c r="AO300" s="67" t="b">
        <f t="shared" si="18"/>
        <v>1</v>
      </c>
    </row>
    <row r="301" spans="1:41" s="6" customFormat="1" ht="12" customHeight="1" x14ac:dyDescent="0.2">
      <c r="A301" s="1" t="s">
        <v>838</v>
      </c>
      <c r="B301" s="1"/>
      <c r="C301" s="1" t="s">
        <v>430</v>
      </c>
      <c r="D301" s="1"/>
      <c r="E301" s="48">
        <v>20213</v>
      </c>
      <c r="F301" s="48"/>
      <c r="G301" s="48">
        <v>293.25</v>
      </c>
      <c r="H301" s="48"/>
      <c r="I301" s="48">
        <v>10233.91</v>
      </c>
      <c r="J301" s="48"/>
      <c r="K301" s="48">
        <v>0</v>
      </c>
      <c r="L301" s="48"/>
      <c r="M301" s="48">
        <v>0</v>
      </c>
      <c r="N301" s="48"/>
      <c r="O301" s="48">
        <v>27018.44</v>
      </c>
      <c r="P301" s="48"/>
      <c r="Q301" s="48">
        <v>42860.9</v>
      </c>
      <c r="R301" s="48"/>
      <c r="S301" s="48">
        <v>0</v>
      </c>
      <c r="T301" s="48"/>
      <c r="U301" s="48">
        <v>0</v>
      </c>
      <c r="V301" s="48"/>
      <c r="W301" s="48">
        <v>0</v>
      </c>
      <c r="X301" s="48"/>
      <c r="Y301" s="48">
        <v>0</v>
      </c>
      <c r="Z301" s="48"/>
      <c r="AA301" s="48">
        <v>0</v>
      </c>
      <c r="AB301" s="48"/>
      <c r="AC301" s="48">
        <v>0</v>
      </c>
      <c r="AD301" s="48"/>
      <c r="AE301" s="48">
        <f t="shared" si="16"/>
        <v>100619.5</v>
      </c>
      <c r="AF301" s="1"/>
      <c r="AG301" s="55">
        <v>164.94</v>
      </c>
      <c r="AH301" s="55"/>
      <c r="AI301" s="55">
        <v>11842.11</v>
      </c>
      <c r="AJ301" s="55"/>
      <c r="AK301" s="55">
        <v>12007.05</v>
      </c>
      <c r="AL301" s="8">
        <f>+'Gen Rev'!AI302-'Gen Exp'!AE301+'Gen Exp'!AI301-AK301</f>
        <v>0</v>
      </c>
      <c r="AM301" s="21" t="str">
        <f>'Gen Rev'!A302</f>
        <v>La Rue</v>
      </c>
      <c r="AN301" s="67" t="str">
        <f t="shared" si="17"/>
        <v>La Rue</v>
      </c>
      <c r="AO301" s="67" t="b">
        <f t="shared" si="18"/>
        <v>1</v>
      </c>
    </row>
    <row r="302" spans="1:41" s="6" customFormat="1" ht="12" customHeight="1" x14ac:dyDescent="0.2">
      <c r="A302" s="1" t="s">
        <v>5</v>
      </c>
      <c r="B302" s="1"/>
      <c r="C302" s="1" t="s">
        <v>651</v>
      </c>
      <c r="D302" s="67"/>
      <c r="E302" s="48">
        <v>13271.27</v>
      </c>
      <c r="F302" s="48"/>
      <c r="G302" s="48">
        <v>0</v>
      </c>
      <c r="H302" s="48"/>
      <c r="I302" s="48">
        <v>0</v>
      </c>
      <c r="J302" s="48"/>
      <c r="K302" s="48">
        <v>0</v>
      </c>
      <c r="L302" s="48"/>
      <c r="M302" s="48">
        <v>0</v>
      </c>
      <c r="N302" s="48"/>
      <c r="O302" s="48">
        <v>0</v>
      </c>
      <c r="P302" s="48"/>
      <c r="Q302" s="48">
        <v>24041.35</v>
      </c>
      <c r="R302" s="48"/>
      <c r="S302" s="48">
        <v>0</v>
      </c>
      <c r="T302" s="48"/>
      <c r="U302" s="48">
        <v>2590.25</v>
      </c>
      <c r="V302" s="48"/>
      <c r="W302" s="48">
        <v>490.9</v>
      </c>
      <c r="X302" s="48"/>
      <c r="Y302" s="48">
        <v>6000</v>
      </c>
      <c r="Z302" s="48"/>
      <c r="AA302" s="48">
        <v>0</v>
      </c>
      <c r="AB302" s="48"/>
      <c r="AC302" s="48">
        <v>0</v>
      </c>
      <c r="AD302" s="48"/>
      <c r="AE302" s="48">
        <f t="shared" si="16"/>
        <v>46393.77</v>
      </c>
      <c r="AF302" s="1"/>
      <c r="AG302" s="55">
        <v>1101.79</v>
      </c>
      <c r="AH302" s="55"/>
      <c r="AI302" s="55">
        <v>24136.29</v>
      </c>
      <c r="AJ302" s="55"/>
      <c r="AK302" s="55">
        <v>25238.080000000002</v>
      </c>
      <c r="AL302" s="8">
        <f>+'Gen Rev'!AI303-'Gen Exp'!AE302+'Gen Exp'!AI302-AK302</f>
        <v>0</v>
      </c>
      <c r="AM302" s="21" t="str">
        <f>'Gen Rev'!A303</f>
        <v>Lafayette</v>
      </c>
      <c r="AN302" s="67" t="str">
        <f t="shared" si="17"/>
        <v>Lafayette</v>
      </c>
      <c r="AO302" s="67" t="b">
        <f t="shared" si="18"/>
        <v>1</v>
      </c>
    </row>
    <row r="303" spans="1:41" s="67" customFormat="1" ht="12" customHeight="1" x14ac:dyDescent="0.2">
      <c r="A303" s="1" t="s">
        <v>128</v>
      </c>
      <c r="B303" s="1"/>
      <c r="C303" s="1" t="s">
        <v>419</v>
      </c>
      <c r="D303" s="1"/>
      <c r="E303" s="48">
        <v>292456.26</v>
      </c>
      <c r="F303" s="48"/>
      <c r="G303" s="48">
        <v>7216</v>
      </c>
      <c r="H303" s="48"/>
      <c r="I303" s="48">
        <v>83730.92</v>
      </c>
      <c r="J303" s="48"/>
      <c r="K303" s="48">
        <v>76957.19</v>
      </c>
      <c r="L303" s="48"/>
      <c r="M303" s="48">
        <v>152883.1</v>
      </c>
      <c r="N303" s="48"/>
      <c r="O303" s="48">
        <v>374.27</v>
      </c>
      <c r="P303" s="48"/>
      <c r="Q303" s="48">
        <v>451075.82</v>
      </c>
      <c r="R303" s="48"/>
      <c r="S303" s="48">
        <v>5119.55</v>
      </c>
      <c r="T303" s="48"/>
      <c r="U303" s="48">
        <v>0</v>
      </c>
      <c r="V303" s="48"/>
      <c r="W303" s="48">
        <v>0</v>
      </c>
      <c r="X303" s="48"/>
      <c r="Y303" s="48">
        <v>89231</v>
      </c>
      <c r="Z303" s="48"/>
      <c r="AA303" s="48">
        <v>0</v>
      </c>
      <c r="AB303" s="48"/>
      <c r="AC303" s="48">
        <v>0</v>
      </c>
      <c r="AD303" s="48"/>
      <c r="AE303" s="48">
        <f t="shared" si="16"/>
        <v>1159044.1100000001</v>
      </c>
      <c r="AF303" s="1"/>
      <c r="AG303" s="55">
        <v>9657.8799999999992</v>
      </c>
      <c r="AH303" s="55"/>
      <c r="AI303" s="55">
        <v>918245.67</v>
      </c>
      <c r="AJ303" s="55"/>
      <c r="AK303" s="55">
        <v>927903.55</v>
      </c>
      <c r="AL303" s="8">
        <f>+'Gen Rev'!AI304-'Gen Exp'!AE303+'Gen Exp'!AI303-AK303</f>
        <v>0</v>
      </c>
      <c r="AM303" s="21" t="str">
        <f>'Gen Rev'!A304</f>
        <v>Lagrange</v>
      </c>
      <c r="AN303" s="67" t="str">
        <f t="shared" si="17"/>
        <v>Lagrange</v>
      </c>
      <c r="AO303" s="67" t="b">
        <f t="shared" si="18"/>
        <v>1</v>
      </c>
    </row>
    <row r="304" spans="1:41" ht="12" customHeight="1" x14ac:dyDescent="0.2">
      <c r="A304" s="1" t="s">
        <v>646</v>
      </c>
      <c r="C304" s="1" t="s">
        <v>399</v>
      </c>
      <c r="E304" s="48">
        <v>53707.58</v>
      </c>
      <c r="F304" s="48"/>
      <c r="G304" s="48">
        <v>0</v>
      </c>
      <c r="H304" s="48"/>
      <c r="I304" s="48">
        <v>0</v>
      </c>
      <c r="J304" s="48"/>
      <c r="K304" s="48">
        <v>0</v>
      </c>
      <c r="L304" s="48"/>
      <c r="M304" s="48">
        <v>6213.61</v>
      </c>
      <c r="N304" s="48"/>
      <c r="O304" s="48">
        <v>0</v>
      </c>
      <c r="P304" s="48"/>
      <c r="Q304" s="48">
        <v>13639.74</v>
      </c>
      <c r="R304" s="48"/>
      <c r="S304" s="48">
        <v>0</v>
      </c>
      <c r="T304" s="48"/>
      <c r="U304" s="48">
        <v>0</v>
      </c>
      <c r="V304" s="48"/>
      <c r="W304" s="48">
        <v>0</v>
      </c>
      <c r="X304" s="48"/>
      <c r="Y304" s="48">
        <v>0</v>
      </c>
      <c r="Z304" s="48"/>
      <c r="AA304" s="48">
        <v>0</v>
      </c>
      <c r="AB304" s="48"/>
      <c r="AC304" s="48">
        <v>0</v>
      </c>
      <c r="AD304" s="48"/>
      <c r="AE304" s="48">
        <f t="shared" si="16"/>
        <v>73560.930000000008</v>
      </c>
      <c r="AG304" s="55">
        <v>28368.54</v>
      </c>
      <c r="AI304" s="55">
        <v>61182.239999999998</v>
      </c>
      <c r="AK304" s="55">
        <v>89550.78</v>
      </c>
      <c r="AL304" s="8">
        <f>+'Gen Rev'!AI305-'Gen Exp'!AE304+'Gen Exp'!AI304-AK304</f>
        <v>0</v>
      </c>
      <c r="AM304" s="21" t="str">
        <f>'Gen Rev'!A305</f>
        <v>Lakeline</v>
      </c>
      <c r="AN304" s="67" t="str">
        <f t="shared" si="17"/>
        <v>Lakeline</v>
      </c>
      <c r="AO304" s="67" t="b">
        <f t="shared" si="18"/>
        <v>1</v>
      </c>
    </row>
    <row r="305" spans="1:41" ht="12" customHeight="1" x14ac:dyDescent="0.2">
      <c r="A305" s="1" t="s">
        <v>700</v>
      </c>
      <c r="C305" s="1" t="s">
        <v>511</v>
      </c>
      <c r="D305" s="7"/>
      <c r="E305" s="48">
        <f>533640+22788</f>
        <v>556428</v>
      </c>
      <c r="F305" s="48"/>
      <c r="G305" s="48">
        <v>250</v>
      </c>
      <c r="H305" s="48"/>
      <c r="I305" s="48">
        <v>2406</v>
      </c>
      <c r="J305" s="48"/>
      <c r="K305" s="48">
        <v>6341</v>
      </c>
      <c r="L305" s="48"/>
      <c r="M305" s="48">
        <v>0</v>
      </c>
      <c r="N305" s="48"/>
      <c r="O305" s="48">
        <v>7276</v>
      </c>
      <c r="P305" s="48"/>
      <c r="Q305" s="48">
        <v>241133</v>
      </c>
      <c r="R305" s="48"/>
      <c r="S305" s="48">
        <v>0</v>
      </c>
      <c r="T305" s="48"/>
      <c r="U305" s="48">
        <v>7136</v>
      </c>
      <c r="V305" s="48"/>
      <c r="W305" s="48">
        <v>3693</v>
      </c>
      <c r="X305" s="48"/>
      <c r="Y305" s="48">
        <v>52738</v>
      </c>
      <c r="Z305" s="48"/>
      <c r="AA305" s="48">
        <v>110127</v>
      </c>
      <c r="AB305" s="48"/>
      <c r="AC305" s="48">
        <v>0</v>
      </c>
      <c r="AD305" s="48"/>
      <c r="AE305" s="48">
        <f t="shared" si="16"/>
        <v>987528</v>
      </c>
      <c r="AF305" s="48"/>
      <c r="AG305" s="59"/>
      <c r="AH305" s="59"/>
      <c r="AI305" s="59"/>
      <c r="AJ305" s="59"/>
      <c r="AK305" s="59"/>
      <c r="AL305" s="8">
        <f>+'Gen Rev'!AI306-'Gen Exp'!AE305+'Gen Exp'!AI305-AK305</f>
        <v>259704</v>
      </c>
      <c r="AM305" s="21" t="str">
        <f>'Gen Rev'!A306</f>
        <v>Lakemore</v>
      </c>
      <c r="AN305" s="67" t="str">
        <f t="shared" si="17"/>
        <v>Lakemore</v>
      </c>
      <c r="AO305" s="67" t="b">
        <f t="shared" si="18"/>
        <v>1</v>
      </c>
    </row>
    <row r="306" spans="1:41" ht="12" customHeight="1" x14ac:dyDescent="0.2">
      <c r="A306" s="1" t="s">
        <v>700</v>
      </c>
      <c r="C306" s="1" t="s">
        <v>511</v>
      </c>
      <c r="E306" s="48">
        <v>567257.28</v>
      </c>
      <c r="F306" s="48"/>
      <c r="G306" s="48">
        <v>250</v>
      </c>
      <c r="H306" s="48"/>
      <c r="I306" s="48">
        <v>2405.9699999999998</v>
      </c>
      <c r="J306" s="48"/>
      <c r="K306" s="48">
        <v>6340.17</v>
      </c>
      <c r="L306" s="48"/>
      <c r="M306" s="48">
        <v>0</v>
      </c>
      <c r="N306" s="48"/>
      <c r="O306" s="48">
        <v>7275.61</v>
      </c>
      <c r="P306" s="48"/>
      <c r="Q306" s="48">
        <v>228722.69</v>
      </c>
      <c r="R306" s="48"/>
      <c r="S306" s="48">
        <v>0</v>
      </c>
      <c r="T306" s="48"/>
      <c r="U306" s="48">
        <v>0</v>
      </c>
      <c r="V306" s="48"/>
      <c r="W306" s="48">
        <v>0</v>
      </c>
      <c r="X306" s="48"/>
      <c r="Y306" s="48">
        <v>52738.37</v>
      </c>
      <c r="Z306" s="48"/>
      <c r="AA306" s="48">
        <v>110127.41</v>
      </c>
      <c r="AB306" s="48"/>
      <c r="AC306" s="48">
        <v>12408.37</v>
      </c>
      <c r="AD306" s="48"/>
      <c r="AE306" s="48">
        <f t="shared" si="16"/>
        <v>987525.87</v>
      </c>
      <c r="AG306" s="55">
        <v>259703.18</v>
      </c>
      <c r="AI306" s="55">
        <v>-827776.91</v>
      </c>
      <c r="AK306" s="55">
        <v>-568073.73</v>
      </c>
      <c r="AL306" s="8">
        <f>+'Gen Rev'!AI307-'Gen Exp'!AE306+'Gen Exp'!AI306-AK306</f>
        <v>0</v>
      </c>
      <c r="AM306" s="21" t="str">
        <f>'Gen Rev'!A307</f>
        <v>Lakemore</v>
      </c>
      <c r="AN306" s="67" t="str">
        <f t="shared" si="17"/>
        <v>Lakemore</v>
      </c>
      <c r="AO306" s="67" t="b">
        <f t="shared" si="18"/>
        <v>1</v>
      </c>
    </row>
    <row r="307" spans="1:41" ht="12" customHeight="1" x14ac:dyDescent="0.2">
      <c r="A307" s="1" t="s">
        <v>645</v>
      </c>
      <c r="C307" s="1" t="s">
        <v>414</v>
      </c>
      <c r="E307" s="48">
        <v>147820.51</v>
      </c>
      <c r="F307" s="48"/>
      <c r="G307" s="48">
        <v>0</v>
      </c>
      <c r="H307" s="48"/>
      <c r="I307" s="48">
        <v>0</v>
      </c>
      <c r="J307" s="48"/>
      <c r="K307" s="48">
        <v>0</v>
      </c>
      <c r="L307" s="48"/>
      <c r="M307" s="48">
        <v>4782.1899999999996</v>
      </c>
      <c r="N307" s="48"/>
      <c r="O307" s="48">
        <v>15537.67</v>
      </c>
      <c r="P307" s="48"/>
      <c r="Q307" s="48">
        <v>158899.89000000001</v>
      </c>
      <c r="R307" s="48"/>
      <c r="S307" s="48">
        <v>0</v>
      </c>
      <c r="T307" s="48"/>
      <c r="U307" s="48">
        <v>0</v>
      </c>
      <c r="V307" s="48"/>
      <c r="W307" s="48">
        <v>0</v>
      </c>
      <c r="X307" s="48"/>
      <c r="Y307" s="48">
        <v>0</v>
      </c>
      <c r="Z307" s="48"/>
      <c r="AA307" s="48">
        <v>0</v>
      </c>
      <c r="AB307" s="48"/>
      <c r="AC307" s="48">
        <v>0</v>
      </c>
      <c r="AD307" s="48"/>
      <c r="AE307" s="48">
        <f t="shared" si="16"/>
        <v>327040.26</v>
      </c>
      <c r="AG307" s="55">
        <v>-19072.400000000001</v>
      </c>
      <c r="AI307" s="55">
        <v>224781.54</v>
      </c>
      <c r="AK307" s="55">
        <v>205709.14</v>
      </c>
      <c r="AL307" s="8">
        <f>+'Gen Rev'!AI308-'Gen Exp'!AE307+'Gen Exp'!AI307-AK307</f>
        <v>0</v>
      </c>
      <c r="AM307" s="21" t="str">
        <f>'Gen Rev'!A308</f>
        <v>Lakeview</v>
      </c>
      <c r="AN307" s="67" t="str">
        <f t="shared" si="17"/>
        <v>Lakeview</v>
      </c>
      <c r="AO307" s="67" t="b">
        <f t="shared" si="18"/>
        <v>1</v>
      </c>
    </row>
    <row r="308" spans="1:41" ht="12" customHeight="1" x14ac:dyDescent="0.2">
      <c r="A308" s="1" t="s">
        <v>170</v>
      </c>
      <c r="C308" s="1" t="s">
        <v>460</v>
      </c>
      <c r="E308" s="48">
        <v>8669.11</v>
      </c>
      <c r="F308" s="48"/>
      <c r="G308" s="48">
        <v>0</v>
      </c>
      <c r="H308" s="48"/>
      <c r="I308" s="48">
        <v>0</v>
      </c>
      <c r="J308" s="48"/>
      <c r="K308" s="48">
        <v>0</v>
      </c>
      <c r="L308" s="48"/>
      <c r="M308" s="48">
        <v>0</v>
      </c>
      <c r="N308" s="48"/>
      <c r="O308" s="48">
        <v>0</v>
      </c>
      <c r="P308" s="48"/>
      <c r="Q308" s="48">
        <v>26268.43</v>
      </c>
      <c r="R308" s="48"/>
      <c r="S308" s="48">
        <v>0</v>
      </c>
      <c r="T308" s="48"/>
      <c r="U308" s="48">
        <v>0</v>
      </c>
      <c r="V308" s="48"/>
      <c r="W308" s="48">
        <v>0</v>
      </c>
      <c r="X308" s="48"/>
      <c r="Y308" s="48">
        <v>750</v>
      </c>
      <c r="Z308" s="48"/>
      <c r="AA308" s="48">
        <v>0</v>
      </c>
      <c r="AB308" s="48"/>
      <c r="AC308" s="48">
        <v>0</v>
      </c>
      <c r="AD308" s="48"/>
      <c r="AE308" s="48">
        <f t="shared" si="16"/>
        <v>35687.54</v>
      </c>
      <c r="AG308" s="55">
        <v>-3629.5</v>
      </c>
      <c r="AI308" s="55">
        <v>33173.230000000003</v>
      </c>
      <c r="AK308" s="55">
        <v>29543.73</v>
      </c>
      <c r="AL308" s="8">
        <f>+'Gen Rev'!AI309-'Gen Exp'!AE308+'Gen Exp'!AI308-AK308</f>
        <v>0</v>
      </c>
      <c r="AM308" s="21" t="str">
        <f>'Gen Rev'!A309</f>
        <v>Latty</v>
      </c>
      <c r="AN308" s="67" t="str">
        <f t="shared" si="17"/>
        <v>Latty</v>
      </c>
      <c r="AO308" s="67" t="b">
        <f t="shared" si="18"/>
        <v>1</v>
      </c>
    </row>
    <row r="309" spans="1:41" ht="12" customHeight="1" x14ac:dyDescent="0.2">
      <c r="A309" s="1" t="s">
        <v>149</v>
      </c>
      <c r="C309" s="1" t="s">
        <v>437</v>
      </c>
      <c r="E309" s="48">
        <v>4000</v>
      </c>
      <c r="F309" s="48"/>
      <c r="G309" s="48">
        <v>0</v>
      </c>
      <c r="H309" s="48"/>
      <c r="I309" s="48">
        <v>2364.7199999999998</v>
      </c>
      <c r="J309" s="48"/>
      <c r="K309" s="48">
        <v>0</v>
      </c>
      <c r="L309" s="48"/>
      <c r="M309" s="48">
        <v>3792.37</v>
      </c>
      <c r="N309" s="48"/>
      <c r="O309" s="48">
        <v>0</v>
      </c>
      <c r="P309" s="48"/>
      <c r="Q309" s="48">
        <v>17204.21</v>
      </c>
      <c r="R309" s="48"/>
      <c r="S309" s="48">
        <v>0</v>
      </c>
      <c r="T309" s="48"/>
      <c r="U309" s="48">
        <v>0</v>
      </c>
      <c r="V309" s="48"/>
      <c r="W309" s="48">
        <v>0</v>
      </c>
      <c r="X309" s="48"/>
      <c r="Y309" s="48">
        <v>27597.84</v>
      </c>
      <c r="Z309" s="48"/>
      <c r="AA309" s="48">
        <v>0</v>
      </c>
      <c r="AB309" s="48"/>
      <c r="AC309" s="48">
        <v>1742.53</v>
      </c>
      <c r="AD309" s="48"/>
      <c r="AE309" s="48">
        <f t="shared" si="16"/>
        <v>56701.67</v>
      </c>
      <c r="AG309" s="55">
        <v>9918.74</v>
      </c>
      <c r="AI309" s="55">
        <v>65819.929999999993</v>
      </c>
      <c r="AK309" s="55">
        <v>75738.67</v>
      </c>
      <c r="AL309" s="8">
        <f>+'Gen Rev'!AI310-'Gen Exp'!AE309+'Gen Exp'!AI309-AK309</f>
        <v>0</v>
      </c>
      <c r="AM309" s="21" t="str">
        <f>'Gen Rev'!A310</f>
        <v>Laura</v>
      </c>
      <c r="AN309" s="67" t="str">
        <f t="shared" si="17"/>
        <v>Laura</v>
      </c>
      <c r="AO309" s="67" t="b">
        <f t="shared" si="18"/>
        <v>1</v>
      </c>
    </row>
    <row r="310" spans="1:41" s="67" customFormat="1" ht="12" customHeight="1" x14ac:dyDescent="0.2">
      <c r="A310" s="1" t="s">
        <v>106</v>
      </c>
      <c r="B310" s="1"/>
      <c r="C310" s="1" t="s">
        <v>790</v>
      </c>
      <c r="D310" s="1"/>
      <c r="E310" s="48">
        <v>68428.399999999994</v>
      </c>
      <c r="F310" s="48"/>
      <c r="G310" s="48">
        <v>0</v>
      </c>
      <c r="H310" s="48"/>
      <c r="I310" s="48">
        <v>1813.82</v>
      </c>
      <c r="J310" s="48"/>
      <c r="K310" s="48">
        <v>308.97000000000003</v>
      </c>
      <c r="L310" s="48"/>
      <c r="M310" s="48">
        <v>11526.13</v>
      </c>
      <c r="N310" s="48"/>
      <c r="O310" s="48">
        <v>0</v>
      </c>
      <c r="P310" s="48"/>
      <c r="Q310" s="48">
        <v>40278.18</v>
      </c>
      <c r="R310" s="48"/>
      <c r="S310" s="48">
        <v>0</v>
      </c>
      <c r="T310" s="48"/>
      <c r="U310" s="48">
        <v>0</v>
      </c>
      <c r="V310" s="48"/>
      <c r="W310" s="48">
        <v>0</v>
      </c>
      <c r="X310" s="48"/>
      <c r="Y310" s="48">
        <v>0</v>
      </c>
      <c r="Z310" s="48"/>
      <c r="AA310" s="48">
        <v>0</v>
      </c>
      <c r="AB310" s="48"/>
      <c r="AC310" s="48">
        <v>0</v>
      </c>
      <c r="AD310" s="48"/>
      <c r="AE310" s="48">
        <f t="shared" si="16"/>
        <v>122355.5</v>
      </c>
      <c r="AF310" s="1"/>
      <c r="AG310" s="55">
        <v>-23520.09</v>
      </c>
      <c r="AH310" s="55"/>
      <c r="AI310" s="55">
        <v>69171.5</v>
      </c>
      <c r="AJ310" s="55"/>
      <c r="AK310" s="55">
        <v>45651.41</v>
      </c>
      <c r="AL310" s="8">
        <f>+'Gen Rev'!AI311-'Gen Exp'!AE310+'Gen Exp'!AI310-AK310</f>
        <v>0</v>
      </c>
      <c r="AM310" s="21" t="str">
        <f>'Gen Rev'!A311</f>
        <v>Laurelville</v>
      </c>
      <c r="AN310" s="67" t="str">
        <f t="shared" si="17"/>
        <v>Laurelville</v>
      </c>
      <c r="AO310" s="67" t="b">
        <f t="shared" si="18"/>
        <v>1</v>
      </c>
    </row>
    <row r="311" spans="1:41" s="67" customFormat="1" ht="12" customHeight="1" x14ac:dyDescent="0.2">
      <c r="A311" s="1" t="s">
        <v>802</v>
      </c>
      <c r="B311" s="1"/>
      <c r="C311" s="1" t="s">
        <v>379</v>
      </c>
      <c r="D311" s="1"/>
      <c r="E311" s="48">
        <v>270700.86</v>
      </c>
      <c r="F311" s="48"/>
      <c r="G311" s="48">
        <v>0</v>
      </c>
      <c r="H311" s="48"/>
      <c r="I311" s="48">
        <v>7194.14</v>
      </c>
      <c r="J311" s="48"/>
      <c r="K311" s="48">
        <v>0</v>
      </c>
      <c r="L311" s="48"/>
      <c r="M311" s="48">
        <v>2900</v>
      </c>
      <c r="N311" s="48"/>
      <c r="O311" s="48">
        <v>1341.99</v>
      </c>
      <c r="P311" s="48"/>
      <c r="Q311" s="48">
        <v>165803.03</v>
      </c>
      <c r="R311" s="48"/>
      <c r="S311" s="48">
        <v>0</v>
      </c>
      <c r="T311" s="48"/>
      <c r="U311" s="48">
        <v>0</v>
      </c>
      <c r="V311" s="48"/>
      <c r="W311" s="48">
        <v>0</v>
      </c>
      <c r="X311" s="48"/>
      <c r="Y311" s="48">
        <v>0</v>
      </c>
      <c r="Z311" s="48"/>
      <c r="AA311" s="48">
        <v>0</v>
      </c>
      <c r="AB311" s="48"/>
      <c r="AC311" s="48">
        <v>19214.18</v>
      </c>
      <c r="AD311" s="48"/>
      <c r="AE311" s="48">
        <f t="shared" si="16"/>
        <v>467154.2</v>
      </c>
      <c r="AF311" s="1"/>
      <c r="AG311" s="55">
        <v>-17171.25</v>
      </c>
      <c r="AH311" s="55"/>
      <c r="AI311" s="55">
        <v>813156.25</v>
      </c>
      <c r="AJ311" s="55"/>
      <c r="AK311" s="55">
        <v>795985</v>
      </c>
      <c r="AL311" s="8">
        <f>+'Gen Rev'!AI312-'Gen Exp'!AE311+'Gen Exp'!AI311-AK311</f>
        <v>0</v>
      </c>
      <c r="AM311" s="21" t="str">
        <f>'Gen Rev'!A312</f>
        <v>Leesburg</v>
      </c>
      <c r="AN311" s="67" t="str">
        <f t="shared" si="17"/>
        <v>Leesburg</v>
      </c>
      <c r="AO311" s="67" t="b">
        <f t="shared" si="18"/>
        <v>1</v>
      </c>
    </row>
    <row r="312" spans="1:41" ht="12" customHeight="1" x14ac:dyDescent="0.2">
      <c r="A312" s="1" t="s">
        <v>28</v>
      </c>
      <c r="C312" s="1" t="s">
        <v>57</v>
      </c>
      <c r="E312" s="48">
        <v>3999.6</v>
      </c>
      <c r="F312" s="48"/>
      <c r="G312" s="48">
        <v>1513.29</v>
      </c>
      <c r="H312" s="48"/>
      <c r="I312" s="48">
        <v>210.73</v>
      </c>
      <c r="J312" s="48"/>
      <c r="K312" s="48">
        <v>0</v>
      </c>
      <c r="L312" s="48"/>
      <c r="M312" s="48">
        <v>0</v>
      </c>
      <c r="N312" s="48"/>
      <c r="O312" s="48">
        <v>943.42</v>
      </c>
      <c r="P312" s="48"/>
      <c r="Q312" s="48">
        <v>16134.43</v>
      </c>
      <c r="R312" s="48"/>
      <c r="S312" s="48">
        <v>0</v>
      </c>
      <c r="T312" s="48"/>
      <c r="U312" s="48">
        <v>0</v>
      </c>
      <c r="V312" s="48"/>
      <c r="W312" s="48">
        <v>0</v>
      </c>
      <c r="X312" s="48"/>
      <c r="Y312" s="48">
        <v>0</v>
      </c>
      <c r="Z312" s="48"/>
      <c r="AA312" s="48">
        <v>0</v>
      </c>
      <c r="AB312" s="48"/>
      <c r="AC312" s="48">
        <v>0</v>
      </c>
      <c r="AD312" s="48"/>
      <c r="AE312" s="48">
        <f t="shared" si="16"/>
        <v>22801.47</v>
      </c>
      <c r="AG312" s="55">
        <v>1253.78</v>
      </c>
      <c r="AI312" s="55">
        <v>27043.48</v>
      </c>
      <c r="AK312" s="55">
        <v>28297.26</v>
      </c>
      <c r="AL312" s="8">
        <f>+'Gen Rev'!AI313-'Gen Exp'!AE312+'Gen Exp'!AI312-AK312</f>
        <v>0</v>
      </c>
      <c r="AM312" s="21" t="str">
        <f>'Gen Rev'!A313</f>
        <v>Leesville</v>
      </c>
      <c r="AN312" s="67" t="str">
        <f t="shared" si="17"/>
        <v>Leesville</v>
      </c>
      <c r="AO312" s="67" t="b">
        <f t="shared" si="18"/>
        <v>1</v>
      </c>
    </row>
    <row r="313" spans="1:41" ht="12" customHeight="1" x14ac:dyDescent="0.2">
      <c r="A313" s="1" t="s">
        <v>41</v>
      </c>
      <c r="C313" s="1" t="s">
        <v>283</v>
      </c>
      <c r="E313" s="48">
        <v>397748.88</v>
      </c>
      <c r="F313" s="48"/>
      <c r="G313" s="48">
        <v>5414.42</v>
      </c>
      <c r="H313" s="48"/>
      <c r="I313" s="48">
        <v>4982.5200000000004</v>
      </c>
      <c r="J313" s="48"/>
      <c r="K313" s="48">
        <v>14794.35</v>
      </c>
      <c r="L313" s="48"/>
      <c r="M313" s="48">
        <v>0</v>
      </c>
      <c r="N313" s="48"/>
      <c r="O313" s="48">
        <v>0</v>
      </c>
      <c r="P313" s="48"/>
      <c r="Q313" s="48">
        <v>148807.74</v>
      </c>
      <c r="R313" s="48"/>
      <c r="S313" s="48">
        <v>14995</v>
      </c>
      <c r="T313" s="48"/>
      <c r="U313" s="48">
        <v>0</v>
      </c>
      <c r="V313" s="48"/>
      <c r="W313" s="48">
        <v>0</v>
      </c>
      <c r="X313" s="48"/>
      <c r="Y313" s="48">
        <v>0</v>
      </c>
      <c r="Z313" s="48"/>
      <c r="AA313" s="48">
        <v>19205</v>
      </c>
      <c r="AB313" s="48"/>
      <c r="AC313" s="48">
        <v>0</v>
      </c>
      <c r="AD313" s="48"/>
      <c r="AE313" s="48">
        <f t="shared" ref="AE313:AE350" si="19">SUM(E313:AC313)</f>
        <v>605947.90999999992</v>
      </c>
      <c r="AG313" s="55">
        <v>-7288.48</v>
      </c>
      <c r="AI313" s="55">
        <v>129746.22</v>
      </c>
      <c r="AK313" s="55">
        <v>122457.74</v>
      </c>
      <c r="AL313" s="8">
        <f>+'Gen Rev'!AI314-'Gen Exp'!AE313+'Gen Exp'!AI313-AK313</f>
        <v>1.3096723705530167E-10</v>
      </c>
      <c r="AM313" s="21" t="str">
        <f>'Gen Rev'!A314</f>
        <v>Leetonia</v>
      </c>
      <c r="AN313" s="67" t="str">
        <f t="shared" si="17"/>
        <v>Leetonia</v>
      </c>
      <c r="AO313" s="67" t="b">
        <f t="shared" si="18"/>
        <v>1</v>
      </c>
    </row>
    <row r="314" spans="1:41" ht="12" customHeight="1" x14ac:dyDescent="0.2">
      <c r="A314" s="1" t="s">
        <v>771</v>
      </c>
      <c r="C314" s="1" t="s">
        <v>476</v>
      </c>
      <c r="E314" s="48">
        <v>0</v>
      </c>
      <c r="F314" s="48"/>
      <c r="G314" s="48">
        <v>0</v>
      </c>
      <c r="H314" s="48"/>
      <c r="I314" s="48">
        <v>0</v>
      </c>
      <c r="J314" s="48"/>
      <c r="K314" s="48">
        <v>0</v>
      </c>
      <c r="L314" s="48"/>
      <c r="M314" s="48">
        <v>0</v>
      </c>
      <c r="N314" s="48"/>
      <c r="O314" s="48">
        <v>0</v>
      </c>
      <c r="P314" s="48"/>
      <c r="Q314" s="48">
        <f>348430+31540+1619+655+287496</f>
        <v>669740</v>
      </c>
      <c r="R314" s="48"/>
      <c r="S314" s="48">
        <v>86140</v>
      </c>
      <c r="T314" s="48"/>
      <c r="U314" s="48">
        <v>120728</v>
      </c>
      <c r="V314" s="48"/>
      <c r="W314" s="48">
        <v>1257</v>
      </c>
      <c r="X314" s="48"/>
      <c r="Y314" s="48">
        <v>2141680</v>
      </c>
      <c r="Z314" s="48"/>
      <c r="AA314" s="48">
        <v>0</v>
      </c>
      <c r="AB314" s="48"/>
      <c r="AC314" s="48">
        <v>0</v>
      </c>
      <c r="AD314" s="48"/>
      <c r="AE314" s="48">
        <f t="shared" si="19"/>
        <v>3019545</v>
      </c>
      <c r="AF314" s="48"/>
      <c r="AG314" s="59"/>
      <c r="AH314" s="59"/>
      <c r="AI314" s="59"/>
      <c r="AJ314" s="59"/>
      <c r="AK314" s="59"/>
      <c r="AL314" s="8">
        <f>+'Gen Rev'!AI315-'Gen Exp'!AE314+'Gen Exp'!AI314-AK314</f>
        <v>530240</v>
      </c>
      <c r="AM314" s="21" t="str">
        <f>'Gen Rev'!A315</f>
        <v>Leipsic</v>
      </c>
      <c r="AN314" s="67" t="str">
        <f t="shared" si="17"/>
        <v>Leipsic</v>
      </c>
      <c r="AO314" s="67" t="b">
        <f t="shared" si="18"/>
        <v>1</v>
      </c>
    </row>
    <row r="315" spans="1:41" s="67" customFormat="1" ht="12" customHeight="1" x14ac:dyDescent="0.2">
      <c r="A315" s="1" t="s">
        <v>471</v>
      </c>
      <c r="B315" s="1"/>
      <c r="C315" s="1" t="s">
        <v>472</v>
      </c>
      <c r="D315" s="1"/>
      <c r="E315" s="48">
        <v>656367</v>
      </c>
      <c r="F315" s="48"/>
      <c r="G315" s="48">
        <v>0</v>
      </c>
      <c r="H315" s="48"/>
      <c r="I315" s="48">
        <v>0</v>
      </c>
      <c r="J315" s="48"/>
      <c r="K315" s="48">
        <v>8358</v>
      </c>
      <c r="L315" s="48"/>
      <c r="M315" s="48">
        <v>0</v>
      </c>
      <c r="N315" s="48"/>
      <c r="O315" s="48">
        <v>14676</v>
      </c>
      <c r="P315" s="48"/>
      <c r="Q315" s="48">
        <v>277835</v>
      </c>
      <c r="R315" s="48"/>
      <c r="S315" s="48">
        <v>25199</v>
      </c>
      <c r="T315" s="48"/>
      <c r="U315" s="48">
        <v>30443</v>
      </c>
      <c r="V315" s="48"/>
      <c r="W315" s="48">
        <v>8037</v>
      </c>
      <c r="X315" s="48"/>
      <c r="Y315" s="48">
        <v>433983</v>
      </c>
      <c r="Z315" s="48"/>
      <c r="AA315" s="48">
        <v>0</v>
      </c>
      <c r="AB315" s="48"/>
      <c r="AC315" s="48">
        <v>0</v>
      </c>
      <c r="AD315" s="48"/>
      <c r="AE315" s="48">
        <f t="shared" si="19"/>
        <v>1454898</v>
      </c>
      <c r="AF315" s="48"/>
      <c r="AG315" s="59"/>
      <c r="AH315" s="59"/>
      <c r="AI315" s="59"/>
      <c r="AJ315" s="59"/>
      <c r="AK315" s="59"/>
      <c r="AL315" s="8">
        <f>+'Gen Rev'!AI316-'Gen Exp'!AE315+'Gen Exp'!AI315-AK315</f>
        <v>35563</v>
      </c>
      <c r="AM315" s="21" t="str">
        <f>'Gen Rev'!A316</f>
        <v>Lewisburg</v>
      </c>
      <c r="AN315" s="67" t="str">
        <f t="shared" si="17"/>
        <v>Lewisburg</v>
      </c>
      <c r="AO315" s="67" t="b">
        <f t="shared" si="18"/>
        <v>1</v>
      </c>
    </row>
    <row r="316" spans="1:41" ht="12" customHeight="1" x14ac:dyDescent="0.2">
      <c r="A316" s="1" t="s">
        <v>482</v>
      </c>
      <c r="C316" s="1" t="s">
        <v>481</v>
      </c>
      <c r="E316" s="48">
        <v>955901</v>
      </c>
      <c r="F316" s="48"/>
      <c r="G316" s="48">
        <v>750</v>
      </c>
      <c r="H316" s="48"/>
      <c r="I316" s="48">
        <v>165639</v>
      </c>
      <c r="J316" s="48"/>
      <c r="K316" s="48">
        <v>27549</v>
      </c>
      <c r="L316" s="48"/>
      <c r="M316" s="48">
        <v>0</v>
      </c>
      <c r="N316" s="48"/>
      <c r="O316" s="48">
        <v>0</v>
      </c>
      <c r="P316" s="48"/>
      <c r="Q316" s="48">
        <v>520361</v>
      </c>
      <c r="R316" s="48"/>
      <c r="S316" s="48">
        <v>0</v>
      </c>
      <c r="T316" s="48"/>
      <c r="U316" s="48">
        <v>0</v>
      </c>
      <c r="V316" s="48"/>
      <c r="W316" s="48">
        <v>0</v>
      </c>
      <c r="X316" s="48"/>
      <c r="Y316" s="48">
        <v>0</v>
      </c>
      <c r="Z316" s="48"/>
      <c r="AA316" s="48">
        <v>0</v>
      </c>
      <c r="AB316" s="48"/>
      <c r="AC316" s="48">
        <v>279000</v>
      </c>
      <c r="AD316" s="48"/>
      <c r="AE316" s="48">
        <f t="shared" si="19"/>
        <v>1949200</v>
      </c>
      <c r="AF316" s="48"/>
      <c r="AG316" s="59"/>
      <c r="AH316" s="59"/>
      <c r="AI316" s="59"/>
      <c r="AJ316" s="59"/>
      <c r="AK316" s="59"/>
      <c r="AL316" s="8">
        <f>+'Gen Rev'!AI317-'Gen Exp'!AE316+'Gen Exp'!AI316-AK316</f>
        <v>120786</v>
      </c>
      <c r="AM316" s="21" t="str">
        <f>'Gen Rev'!A317</f>
        <v>Lexington</v>
      </c>
      <c r="AN316" s="67" t="str">
        <f t="shared" si="17"/>
        <v>Lexington</v>
      </c>
      <c r="AO316" s="67" t="b">
        <f t="shared" si="18"/>
        <v>1</v>
      </c>
    </row>
    <row r="317" spans="1:41" s="67" customFormat="1" ht="12" customHeight="1" x14ac:dyDescent="0.2">
      <c r="A317" s="1" t="s">
        <v>101</v>
      </c>
      <c r="B317" s="1"/>
      <c r="C317" s="1" t="s">
        <v>377</v>
      </c>
      <c r="D317" s="1"/>
      <c r="E317" s="48">
        <v>59541.33</v>
      </c>
      <c r="F317" s="48"/>
      <c r="G317" s="48">
        <v>12064.35</v>
      </c>
      <c r="H317" s="48"/>
      <c r="I317" s="48">
        <v>16322.49</v>
      </c>
      <c r="J317" s="48"/>
      <c r="K317" s="48">
        <v>7193.79</v>
      </c>
      <c r="L317" s="48"/>
      <c r="M317" s="48">
        <v>14458.86</v>
      </c>
      <c r="N317" s="48"/>
      <c r="O317" s="48">
        <v>6643.54</v>
      </c>
      <c r="P317" s="48"/>
      <c r="Q317" s="48">
        <v>130570.13</v>
      </c>
      <c r="R317" s="48"/>
      <c r="S317" s="48">
        <v>0</v>
      </c>
      <c r="T317" s="48"/>
      <c r="U317" s="48">
        <v>0</v>
      </c>
      <c r="V317" s="48"/>
      <c r="W317" s="48">
        <v>0</v>
      </c>
      <c r="X317" s="48"/>
      <c r="Y317" s="48">
        <v>5509.96</v>
      </c>
      <c r="Z317" s="48"/>
      <c r="AA317" s="48">
        <v>0</v>
      </c>
      <c r="AB317" s="48"/>
      <c r="AC317" s="48">
        <v>569.5</v>
      </c>
      <c r="AD317" s="48"/>
      <c r="AE317" s="48">
        <f t="shared" si="19"/>
        <v>252873.94999999998</v>
      </c>
      <c r="AF317" s="1"/>
      <c r="AG317" s="55">
        <v>-7094.47</v>
      </c>
      <c r="AH317" s="55"/>
      <c r="AI317" s="55">
        <v>120219.96</v>
      </c>
      <c r="AJ317" s="55"/>
      <c r="AK317" s="55">
        <v>113125.49</v>
      </c>
      <c r="AL317" s="8">
        <f>+'Gen Rev'!AI318-'Gen Exp'!AE317+'Gen Exp'!AI317-AK317</f>
        <v>0</v>
      </c>
      <c r="AM317" s="21" t="str">
        <f>'Gen Rev'!A318</f>
        <v>Liberty Center</v>
      </c>
      <c r="AN317" s="67" t="str">
        <f t="shared" si="17"/>
        <v>Liberty Center</v>
      </c>
      <c r="AO317" s="67" t="b">
        <f t="shared" si="18"/>
        <v>1</v>
      </c>
    </row>
    <row r="318" spans="1:41" ht="12" customHeight="1" x14ac:dyDescent="0.2">
      <c r="A318" s="1" t="s">
        <v>211</v>
      </c>
      <c r="C318" s="1" t="s">
        <v>502</v>
      </c>
      <c r="E318" s="48">
        <v>0</v>
      </c>
      <c r="F318" s="48"/>
      <c r="G318" s="48">
        <v>675</v>
      </c>
      <c r="H318" s="48"/>
      <c r="I318" s="48">
        <v>3423.8</v>
      </c>
      <c r="J318" s="48"/>
      <c r="K318" s="48">
        <v>0</v>
      </c>
      <c r="L318" s="48"/>
      <c r="M318" s="48">
        <v>2526.71</v>
      </c>
      <c r="N318" s="48"/>
      <c r="O318" s="48">
        <v>0</v>
      </c>
      <c r="P318" s="48"/>
      <c r="Q318" s="48">
        <v>9236.64</v>
      </c>
      <c r="R318" s="48"/>
      <c r="S318" s="48">
        <v>0</v>
      </c>
      <c r="T318" s="48"/>
      <c r="U318" s="48">
        <v>0</v>
      </c>
      <c r="V318" s="48"/>
      <c r="W318" s="48">
        <v>0</v>
      </c>
      <c r="X318" s="48"/>
      <c r="Y318" s="48">
        <v>0</v>
      </c>
      <c r="Z318" s="48"/>
      <c r="AA318" s="48">
        <v>0</v>
      </c>
      <c r="AB318" s="48"/>
      <c r="AC318" s="48">
        <v>0</v>
      </c>
      <c r="AD318" s="48"/>
      <c r="AE318" s="48">
        <f t="shared" si="19"/>
        <v>15862.15</v>
      </c>
      <c r="AG318" s="55">
        <v>-446.29</v>
      </c>
      <c r="AI318" s="55">
        <v>2273.2800000000002</v>
      </c>
      <c r="AK318" s="55">
        <v>1826.99</v>
      </c>
      <c r="AL318" s="8">
        <f>+'Gen Rev'!AI319-'Gen Exp'!AE318+'Gen Exp'!AI318-AK318</f>
        <v>0</v>
      </c>
      <c r="AM318" s="21" t="str">
        <f>'Gen Rev'!A319</f>
        <v>Limaville</v>
      </c>
      <c r="AN318" s="67" t="str">
        <f t="shared" si="17"/>
        <v>Limaville</v>
      </c>
      <c r="AO318" s="67" t="b">
        <f t="shared" si="18"/>
        <v>1</v>
      </c>
    </row>
    <row r="319" spans="1:41" s="67" customFormat="1" ht="12" customHeight="1" x14ac:dyDescent="0.2">
      <c r="A319" s="1" t="s">
        <v>356</v>
      </c>
      <c r="B319" s="1"/>
      <c r="C319" s="1" t="s">
        <v>351</v>
      </c>
      <c r="D319" s="1"/>
      <c r="E319" s="48">
        <v>605511</v>
      </c>
      <c r="F319" s="48"/>
      <c r="G319" s="48">
        <v>1616</v>
      </c>
      <c r="H319" s="48"/>
      <c r="I319" s="48">
        <v>0</v>
      </c>
      <c r="J319" s="48"/>
      <c r="K319" s="48">
        <v>20082</v>
      </c>
      <c r="L319" s="48"/>
      <c r="M319" s="48">
        <v>0</v>
      </c>
      <c r="N319" s="48"/>
      <c r="O319" s="48">
        <v>0</v>
      </c>
      <c r="P319" s="48"/>
      <c r="Q319" s="48">
        <v>812495</v>
      </c>
      <c r="R319" s="48"/>
      <c r="S319" s="48">
        <v>0</v>
      </c>
      <c r="T319" s="48"/>
      <c r="U319" s="48">
        <v>0</v>
      </c>
      <c r="V319" s="48"/>
      <c r="W319" s="48">
        <v>0</v>
      </c>
      <c r="X319" s="48"/>
      <c r="Y319" s="48">
        <v>50021</v>
      </c>
      <c r="Z319" s="48"/>
      <c r="AA319" s="48">
        <v>0</v>
      </c>
      <c r="AB319" s="48"/>
      <c r="AC319" s="48">
        <v>0</v>
      </c>
      <c r="AD319" s="48"/>
      <c r="AE319" s="48">
        <f t="shared" si="19"/>
        <v>1489725</v>
      </c>
      <c r="AF319" s="48"/>
      <c r="AG319" s="59"/>
      <c r="AH319" s="59"/>
      <c r="AI319" s="59"/>
      <c r="AJ319" s="59"/>
      <c r="AK319" s="59"/>
      <c r="AL319" s="8">
        <f>+'Gen Rev'!AI320-'Gen Exp'!AE319+'Gen Exp'!AI319-AK319</f>
        <v>26992</v>
      </c>
      <c r="AM319" s="21" t="str">
        <f>'Gen Rev'!A320</f>
        <v>Lincoln Heights</v>
      </c>
      <c r="AN319" s="67" t="str">
        <f t="shared" si="17"/>
        <v>Lincoln Heights</v>
      </c>
      <c r="AO319" s="67" t="b">
        <f t="shared" si="18"/>
        <v>1</v>
      </c>
    </row>
    <row r="320" spans="1:41" s="67" customFormat="1" ht="12" customHeight="1" x14ac:dyDescent="0.2">
      <c r="A320" s="1" t="s">
        <v>200</v>
      </c>
      <c r="B320" s="1"/>
      <c r="C320" s="1" t="s">
        <v>487</v>
      </c>
      <c r="D320" s="1"/>
      <c r="E320" s="48">
        <v>20801.439999999999</v>
      </c>
      <c r="F320" s="48"/>
      <c r="G320" s="48">
        <v>268.56</v>
      </c>
      <c r="H320" s="48"/>
      <c r="I320" s="48">
        <v>5636.97</v>
      </c>
      <c r="J320" s="48"/>
      <c r="K320" s="48">
        <v>7000</v>
      </c>
      <c r="L320" s="48"/>
      <c r="M320" s="48">
        <v>3273</v>
      </c>
      <c r="N320" s="48"/>
      <c r="O320" s="48">
        <v>11000</v>
      </c>
      <c r="P320" s="48"/>
      <c r="Q320" s="48">
        <v>38964.33</v>
      </c>
      <c r="R320" s="48"/>
      <c r="S320" s="48">
        <v>0</v>
      </c>
      <c r="T320" s="48"/>
      <c r="U320" s="48">
        <v>0</v>
      </c>
      <c r="V320" s="48"/>
      <c r="W320" s="48">
        <v>0</v>
      </c>
      <c r="X320" s="48"/>
      <c r="Y320" s="48">
        <v>0</v>
      </c>
      <c r="Z320" s="48"/>
      <c r="AA320" s="48">
        <v>0</v>
      </c>
      <c r="AB320" s="48"/>
      <c r="AC320" s="48">
        <v>554</v>
      </c>
      <c r="AD320" s="48"/>
      <c r="AE320" s="48">
        <f t="shared" si="19"/>
        <v>87498.3</v>
      </c>
      <c r="AF320" s="1"/>
      <c r="AG320" s="55">
        <v>-23890.03</v>
      </c>
      <c r="AH320" s="55"/>
      <c r="AI320" s="55">
        <v>80775.95</v>
      </c>
      <c r="AJ320" s="55"/>
      <c r="AK320" s="55">
        <v>56885.919999999998</v>
      </c>
      <c r="AL320" s="8">
        <f>+'Gen Rev'!AI321-'Gen Exp'!AE320+'Gen Exp'!AI320-AK320</f>
        <v>0</v>
      </c>
      <c r="AM320" s="21" t="str">
        <f>'Gen Rev'!A321</f>
        <v>Lindsey</v>
      </c>
      <c r="AN320" s="67" t="str">
        <f t="shared" si="17"/>
        <v>Lindsey</v>
      </c>
      <c r="AO320" s="67" t="b">
        <f t="shared" si="18"/>
        <v>1</v>
      </c>
    </row>
    <row r="321" spans="1:41" ht="12" customHeight="1" x14ac:dyDescent="0.2">
      <c r="A321" s="1" t="s">
        <v>716</v>
      </c>
      <c r="C321" s="1" t="s">
        <v>293</v>
      </c>
      <c r="E321" s="48">
        <v>418579.43</v>
      </c>
      <c r="F321" s="48"/>
      <c r="G321" s="48">
        <v>0</v>
      </c>
      <c r="H321" s="48"/>
      <c r="I321" s="48">
        <v>144.68</v>
      </c>
      <c r="J321" s="48"/>
      <c r="K321" s="48">
        <v>0</v>
      </c>
      <c r="L321" s="48"/>
      <c r="M321" s="48">
        <v>6853.6</v>
      </c>
      <c r="N321" s="48"/>
      <c r="O321" s="48">
        <v>1561.28</v>
      </c>
      <c r="P321" s="48"/>
      <c r="Q321" s="48">
        <v>321470.65000000002</v>
      </c>
      <c r="R321" s="48"/>
      <c r="S321" s="48">
        <v>75</v>
      </c>
      <c r="T321" s="48"/>
      <c r="U321" s="48">
        <v>0</v>
      </c>
      <c r="V321" s="48"/>
      <c r="W321" s="48">
        <v>0</v>
      </c>
      <c r="X321" s="48"/>
      <c r="Y321" s="48">
        <v>0</v>
      </c>
      <c r="Z321" s="48"/>
      <c r="AA321" s="48">
        <v>0</v>
      </c>
      <c r="AB321" s="48"/>
      <c r="AC321" s="48">
        <v>0</v>
      </c>
      <c r="AD321" s="48"/>
      <c r="AE321" s="48">
        <f t="shared" si="19"/>
        <v>748684.64</v>
      </c>
      <c r="AG321" s="55">
        <v>-118552.11</v>
      </c>
      <c r="AI321" s="55">
        <v>128898.83</v>
      </c>
      <c r="AK321" s="55">
        <v>10346.719999999999</v>
      </c>
      <c r="AL321" s="8">
        <f>+'Gen Rev'!AI322-'Gen Exp'!AE321+'Gen Exp'!AI321-AK321</f>
        <v>-1.0004441719502211E-10</v>
      </c>
      <c r="AM321" s="21" t="str">
        <f>'Gen Rev'!A322</f>
        <v>Linndale</v>
      </c>
      <c r="AN321" s="67" t="str">
        <f t="shared" si="17"/>
        <v>Linndale</v>
      </c>
      <c r="AO321" s="67" t="b">
        <f t="shared" si="18"/>
        <v>1</v>
      </c>
    </row>
    <row r="322" spans="1:41" s="70" customFormat="1" ht="12" customHeight="1" x14ac:dyDescent="0.2">
      <c r="A322" s="1" t="s">
        <v>42</v>
      </c>
      <c r="B322" s="1"/>
      <c r="C322" s="1" t="s">
        <v>283</v>
      </c>
      <c r="D322" s="1"/>
      <c r="E322" s="48">
        <v>759742.62</v>
      </c>
      <c r="F322" s="48"/>
      <c r="G322" s="48">
        <v>0</v>
      </c>
      <c r="H322" s="48"/>
      <c r="I322" s="48">
        <v>7834.05</v>
      </c>
      <c r="J322" s="48"/>
      <c r="K322" s="48">
        <v>34211.279999999999</v>
      </c>
      <c r="L322" s="48"/>
      <c r="M322" s="48">
        <v>0</v>
      </c>
      <c r="N322" s="48"/>
      <c r="O322" s="48">
        <v>1815.08</v>
      </c>
      <c r="P322" s="48"/>
      <c r="Q322" s="48">
        <v>314871.59999999998</v>
      </c>
      <c r="R322" s="48"/>
      <c r="S322" s="48">
        <v>0</v>
      </c>
      <c r="T322" s="48"/>
      <c r="U322" s="48">
        <v>49843.99</v>
      </c>
      <c r="V322" s="48"/>
      <c r="W322" s="48">
        <v>41952.77</v>
      </c>
      <c r="X322" s="48"/>
      <c r="Y322" s="48">
        <v>257557.24</v>
      </c>
      <c r="Z322" s="48"/>
      <c r="AA322" s="48">
        <v>20753</v>
      </c>
      <c r="AB322" s="48"/>
      <c r="AC322" s="48">
        <v>0</v>
      </c>
      <c r="AD322" s="48"/>
      <c r="AE322" s="48">
        <f t="shared" si="19"/>
        <v>1488581.63</v>
      </c>
      <c r="AF322" s="1"/>
      <c r="AG322" s="55">
        <v>-48204.68</v>
      </c>
      <c r="AH322" s="55"/>
      <c r="AI322" s="55">
        <v>67243.899999999994</v>
      </c>
      <c r="AJ322" s="55"/>
      <c r="AK322" s="55">
        <v>19039.22</v>
      </c>
      <c r="AL322" s="8">
        <f>+'Gen Rev'!AI323-'Gen Exp'!AE322+'Gen Exp'!AI322-AK322</f>
        <v>5.8207660913467407E-11</v>
      </c>
      <c r="AM322" s="21" t="str">
        <f>'Gen Rev'!A323</f>
        <v>Lisbon</v>
      </c>
      <c r="AN322" s="67" t="str">
        <f t="shared" si="17"/>
        <v>Lisbon</v>
      </c>
      <c r="AO322" s="67" t="b">
        <f t="shared" si="18"/>
        <v>1</v>
      </c>
    </row>
    <row r="323" spans="1:41" s="67" customFormat="1" ht="12" customHeight="1" x14ac:dyDescent="0.2">
      <c r="A323" s="1" t="s">
        <v>803</v>
      </c>
      <c r="B323" s="1"/>
      <c r="C323" s="1" t="s">
        <v>329</v>
      </c>
      <c r="D323" s="1"/>
      <c r="E323" s="48">
        <v>1900</v>
      </c>
      <c r="F323" s="48"/>
      <c r="G323" s="48">
        <v>0</v>
      </c>
      <c r="H323" s="48"/>
      <c r="I323" s="48">
        <v>15963.98</v>
      </c>
      <c r="J323" s="48"/>
      <c r="K323" s="48">
        <v>487.82</v>
      </c>
      <c r="L323" s="48"/>
      <c r="M323" s="48">
        <v>19993.73</v>
      </c>
      <c r="N323" s="48"/>
      <c r="O323" s="48">
        <v>0</v>
      </c>
      <c r="P323" s="48"/>
      <c r="Q323" s="48">
        <v>143707.23000000001</v>
      </c>
      <c r="R323" s="48"/>
      <c r="S323" s="48">
        <v>0</v>
      </c>
      <c r="T323" s="48"/>
      <c r="U323" s="48">
        <v>0</v>
      </c>
      <c r="V323" s="48"/>
      <c r="W323" s="48">
        <v>0</v>
      </c>
      <c r="X323" s="48"/>
      <c r="Y323" s="48">
        <v>0</v>
      </c>
      <c r="Z323" s="48"/>
      <c r="AA323" s="48">
        <v>0</v>
      </c>
      <c r="AB323" s="48"/>
      <c r="AC323" s="48">
        <v>0</v>
      </c>
      <c r="AD323" s="48"/>
      <c r="AE323" s="48">
        <f t="shared" si="19"/>
        <v>182052.76</v>
      </c>
      <c r="AF323" s="1"/>
      <c r="AG323" s="55">
        <v>-84205.16</v>
      </c>
      <c r="AH323" s="55"/>
      <c r="AI323" s="55">
        <v>304021.09999999998</v>
      </c>
      <c r="AJ323" s="55"/>
      <c r="AK323" s="55">
        <v>219815.94</v>
      </c>
      <c r="AL323" s="8">
        <f>+'Gen Rev'!AI324-'Gen Exp'!AE323+'Gen Exp'!AI323-AK323</f>
        <v>0</v>
      </c>
      <c r="AM323" s="21" t="str">
        <f>'Gen Rev'!A324</f>
        <v>Lockbourne</v>
      </c>
      <c r="AN323" s="67" t="str">
        <f t="shared" si="17"/>
        <v>Lockbourne</v>
      </c>
      <c r="AO323" s="67" t="b">
        <f t="shared" si="18"/>
        <v>1</v>
      </c>
    </row>
    <row r="324" spans="1:41" s="67" customFormat="1" ht="12" customHeight="1" x14ac:dyDescent="0.2">
      <c r="A324" s="1" t="s">
        <v>499</v>
      </c>
      <c r="B324" s="1"/>
      <c r="C324" s="1" t="s">
        <v>498</v>
      </c>
      <c r="D324" s="1"/>
      <c r="E324" s="48">
        <v>103</v>
      </c>
      <c r="F324" s="48"/>
      <c r="G324" s="48">
        <v>55</v>
      </c>
      <c r="H324" s="48"/>
      <c r="I324" s="48">
        <v>515</v>
      </c>
      <c r="J324" s="48"/>
      <c r="K324" s="48">
        <v>0</v>
      </c>
      <c r="L324" s="48"/>
      <c r="M324" s="48">
        <v>0</v>
      </c>
      <c r="N324" s="48"/>
      <c r="O324" s="48">
        <v>0</v>
      </c>
      <c r="P324" s="48"/>
      <c r="Q324" s="48">
        <v>11117</v>
      </c>
      <c r="R324" s="48"/>
      <c r="S324" s="48">
        <v>0</v>
      </c>
      <c r="T324" s="48"/>
      <c r="U324" s="48">
        <v>1886</v>
      </c>
      <c r="V324" s="48"/>
      <c r="W324" s="48">
        <v>0</v>
      </c>
      <c r="X324" s="48"/>
      <c r="Y324" s="48">
        <v>0</v>
      </c>
      <c r="Z324" s="48"/>
      <c r="AA324" s="48">
        <v>0</v>
      </c>
      <c r="AB324" s="48"/>
      <c r="AC324" s="48">
        <v>0</v>
      </c>
      <c r="AD324" s="48"/>
      <c r="AE324" s="48">
        <f t="shared" si="19"/>
        <v>13676</v>
      </c>
      <c r="AF324" s="48"/>
      <c r="AG324" s="59"/>
      <c r="AH324" s="59"/>
      <c r="AI324" s="59"/>
      <c r="AJ324" s="59"/>
      <c r="AK324" s="59"/>
      <c r="AL324" s="8">
        <f>+'Gen Rev'!AI325-'Gen Exp'!AE324+'Gen Exp'!AI324-AK324</f>
        <v>2313</v>
      </c>
      <c r="AM324" s="21" t="str">
        <f>'Gen Rev'!A325</f>
        <v xml:space="preserve">Lockington </v>
      </c>
      <c r="AN324" s="67" t="str">
        <f t="shared" si="17"/>
        <v xml:space="preserve">Lockington </v>
      </c>
      <c r="AO324" s="67" t="b">
        <f t="shared" si="18"/>
        <v>1</v>
      </c>
    </row>
    <row r="325" spans="1:41" ht="12" customHeight="1" x14ac:dyDescent="0.2">
      <c r="A325" s="1" t="s">
        <v>90</v>
      </c>
      <c r="C325" s="1" t="s">
        <v>351</v>
      </c>
      <c r="E325" s="48">
        <v>1834110.56</v>
      </c>
      <c r="F325" s="48"/>
      <c r="G325" s="48">
        <v>27160</v>
      </c>
      <c r="H325" s="48"/>
      <c r="I325" s="48">
        <v>40223.06</v>
      </c>
      <c r="J325" s="48"/>
      <c r="K325" s="48">
        <v>39941.68</v>
      </c>
      <c r="L325" s="48"/>
      <c r="M325" s="48">
        <v>1768845.91</v>
      </c>
      <c r="N325" s="48"/>
      <c r="O325" s="48">
        <v>0</v>
      </c>
      <c r="P325" s="48"/>
      <c r="Q325" s="48">
        <v>788779.91</v>
      </c>
      <c r="R325" s="48"/>
      <c r="S325" s="48">
        <v>0</v>
      </c>
      <c r="T325" s="48"/>
      <c r="U325" s="48">
        <v>0</v>
      </c>
      <c r="V325" s="48"/>
      <c r="W325" s="48">
        <v>0</v>
      </c>
      <c r="X325" s="48"/>
      <c r="Y325" s="48">
        <v>673507.53</v>
      </c>
      <c r="Z325" s="48"/>
      <c r="AA325" s="48">
        <v>0</v>
      </c>
      <c r="AB325" s="48"/>
      <c r="AC325" s="48">
        <v>73015.45</v>
      </c>
      <c r="AD325" s="48"/>
      <c r="AE325" s="48">
        <f t="shared" si="19"/>
        <v>5245584.1000000006</v>
      </c>
      <c r="AG325" s="55">
        <v>-190220.1</v>
      </c>
      <c r="AI325" s="55">
        <v>675073.83</v>
      </c>
      <c r="AK325" s="55">
        <v>484853.73</v>
      </c>
      <c r="AL325" s="8">
        <f>+'Gen Rev'!AI326-'Gen Exp'!AE325+'Gen Exp'!AI325-AK325</f>
        <v>-1.5133991837501526E-9</v>
      </c>
      <c r="AM325" s="21" t="str">
        <f>'Gen Rev'!A326</f>
        <v>Lockland</v>
      </c>
      <c r="AN325" s="67" t="str">
        <f t="shared" si="17"/>
        <v>Lockland</v>
      </c>
      <c r="AO325" s="67" t="b">
        <f t="shared" si="18"/>
        <v>1</v>
      </c>
    </row>
    <row r="326" spans="1:41" ht="12" customHeight="1" x14ac:dyDescent="0.2">
      <c r="A326" s="1" t="s">
        <v>822</v>
      </c>
      <c r="C326" s="1" t="s">
        <v>823</v>
      </c>
      <c r="D326" s="7"/>
      <c r="E326" s="48">
        <v>634647</v>
      </c>
      <c r="F326" s="48"/>
      <c r="G326" s="48">
        <v>0</v>
      </c>
      <c r="H326" s="48"/>
      <c r="I326" s="48">
        <v>4880</v>
      </c>
      <c r="J326" s="48"/>
      <c r="K326" s="48">
        <v>7251</v>
      </c>
      <c r="L326" s="48"/>
      <c r="M326" s="48">
        <v>0</v>
      </c>
      <c r="N326" s="48"/>
      <c r="O326" s="48">
        <v>0</v>
      </c>
      <c r="P326" s="48"/>
      <c r="Q326" s="48">
        <v>208452</v>
      </c>
      <c r="R326" s="48"/>
      <c r="S326" s="48">
        <v>23465</v>
      </c>
      <c r="T326" s="48"/>
      <c r="U326" s="48">
        <v>0</v>
      </c>
      <c r="V326" s="48"/>
      <c r="W326" s="48">
        <v>0</v>
      </c>
      <c r="X326" s="48"/>
      <c r="Y326" s="48">
        <v>0</v>
      </c>
      <c r="Z326" s="48"/>
      <c r="AA326" s="48">
        <v>0</v>
      </c>
      <c r="AB326" s="48"/>
      <c r="AC326" s="48">
        <v>0</v>
      </c>
      <c r="AD326" s="48"/>
      <c r="AE326" s="48">
        <f t="shared" si="19"/>
        <v>878695</v>
      </c>
      <c r="AF326" s="48"/>
      <c r="AG326" s="59"/>
      <c r="AH326" s="59"/>
      <c r="AI326" s="59"/>
      <c r="AJ326" s="59"/>
      <c r="AK326" s="59"/>
      <c r="AL326" s="8">
        <f>+'Gen Rev'!AI327-'Gen Exp'!AE326+'Gen Exp'!AI326-AK326</f>
        <v>217413</v>
      </c>
      <c r="AM326" s="21" t="str">
        <f>'Gen Rev'!A327</f>
        <v>Lodi</v>
      </c>
      <c r="AN326" s="67" t="str">
        <f t="shared" si="17"/>
        <v>Lodi</v>
      </c>
      <c r="AO326" s="67" t="b">
        <f t="shared" si="18"/>
        <v>1</v>
      </c>
    </row>
    <row r="327" spans="1:41" ht="12" customHeight="1" x14ac:dyDescent="0.2">
      <c r="A327" s="1" t="s">
        <v>516</v>
      </c>
      <c r="C327" s="1" t="s">
        <v>518</v>
      </c>
      <c r="D327" s="6"/>
      <c r="E327" s="48">
        <v>1492464</v>
      </c>
      <c r="F327" s="48"/>
      <c r="G327" s="48">
        <v>32734</v>
      </c>
      <c r="H327" s="48"/>
      <c r="I327" s="48">
        <v>187123</v>
      </c>
      <c r="J327" s="48"/>
      <c r="K327" s="48">
        <v>207909</v>
      </c>
      <c r="L327" s="48"/>
      <c r="M327" s="48">
        <v>0</v>
      </c>
      <c r="N327" s="48"/>
      <c r="O327" s="48">
        <v>0</v>
      </c>
      <c r="P327" s="48"/>
      <c r="Q327" s="48">
        <v>828978</v>
      </c>
      <c r="R327" s="48"/>
      <c r="S327" s="48">
        <v>0</v>
      </c>
      <c r="T327" s="48"/>
      <c r="U327" s="48">
        <v>0</v>
      </c>
      <c r="V327" s="48"/>
      <c r="W327" s="48">
        <v>0</v>
      </c>
      <c r="X327" s="48"/>
      <c r="Y327" s="48">
        <v>0</v>
      </c>
      <c r="Z327" s="48"/>
      <c r="AA327" s="48">
        <v>0</v>
      </c>
      <c r="AB327" s="48"/>
      <c r="AC327" s="48">
        <v>0</v>
      </c>
      <c r="AD327" s="48"/>
      <c r="AE327" s="48">
        <f t="shared" si="19"/>
        <v>2749208</v>
      </c>
      <c r="AF327" s="48"/>
      <c r="AG327" s="59"/>
      <c r="AH327" s="59"/>
      <c r="AI327" s="59"/>
      <c r="AJ327" s="59"/>
      <c r="AK327" s="59"/>
      <c r="AL327" s="8">
        <f>+'Gen Rev'!AI328-'Gen Exp'!AE327+'Gen Exp'!AI327-AK327</f>
        <v>-776794</v>
      </c>
      <c r="AM327" s="21" t="str">
        <f>'Gen Rev'!A328</f>
        <v>Lordstown</v>
      </c>
      <c r="AN327" s="67" t="str">
        <f t="shared" si="17"/>
        <v>Lordstown</v>
      </c>
      <c r="AO327" s="67" t="b">
        <f t="shared" si="18"/>
        <v>1</v>
      </c>
    </row>
    <row r="328" spans="1:41" ht="12" customHeight="1" x14ac:dyDescent="0.2">
      <c r="A328" s="1" t="s">
        <v>83</v>
      </c>
      <c r="C328" s="1" t="s">
        <v>349</v>
      </c>
      <c r="E328" s="48">
        <v>3778.3</v>
      </c>
      <c r="F328" s="48"/>
      <c r="G328" s="48">
        <v>11.18</v>
      </c>
      <c r="H328" s="48"/>
      <c r="I328" s="48">
        <v>0</v>
      </c>
      <c r="J328" s="48"/>
      <c r="K328" s="48">
        <v>0</v>
      </c>
      <c r="L328" s="48"/>
      <c r="M328" s="48">
        <v>0</v>
      </c>
      <c r="N328" s="48"/>
      <c r="O328" s="48">
        <v>0</v>
      </c>
      <c r="P328" s="48"/>
      <c r="Q328" s="48">
        <v>45862.27</v>
      </c>
      <c r="R328" s="48"/>
      <c r="S328" s="48">
        <v>1433.32</v>
      </c>
      <c r="T328" s="48"/>
      <c r="U328" s="48">
        <v>17605</v>
      </c>
      <c r="V328" s="48"/>
      <c r="W328" s="48">
        <v>91.14</v>
      </c>
      <c r="X328" s="48"/>
      <c r="Y328" s="48">
        <v>0</v>
      </c>
      <c r="Z328" s="48"/>
      <c r="AA328" s="48">
        <v>0</v>
      </c>
      <c r="AB328" s="48"/>
      <c r="AC328" s="48">
        <v>0</v>
      </c>
      <c r="AD328" s="48"/>
      <c r="AE328" s="48">
        <f t="shared" si="19"/>
        <v>68781.210000000006</v>
      </c>
      <c r="AG328" s="55">
        <v>-17716.52</v>
      </c>
      <c r="AI328" s="55">
        <v>70878.83</v>
      </c>
      <c r="AK328" s="55">
        <v>53162.31</v>
      </c>
      <c r="AL328" s="8">
        <f>+'Gen Rev'!AI329-'Gen Exp'!AE328+'Gen Exp'!AI328-AK328</f>
        <v>0</v>
      </c>
      <c r="AM328" s="21" t="str">
        <f>'Gen Rev'!A329</f>
        <v>Lore City</v>
      </c>
      <c r="AN328" s="67" t="str">
        <f t="shared" si="17"/>
        <v>Lore City</v>
      </c>
      <c r="AO328" s="67" t="b">
        <f t="shared" si="18"/>
        <v>1</v>
      </c>
    </row>
    <row r="329" spans="1:41" s="67" customFormat="1" ht="12" customHeight="1" x14ac:dyDescent="0.2">
      <c r="A329" s="1" t="s">
        <v>786</v>
      </c>
      <c r="B329" s="1"/>
      <c r="C329" s="1" t="s">
        <v>848</v>
      </c>
      <c r="E329" s="48">
        <v>68070.42</v>
      </c>
      <c r="F329" s="48"/>
      <c r="G329" s="48">
        <v>5284.64</v>
      </c>
      <c r="H329" s="48"/>
      <c r="I329" s="48">
        <v>39267.339999999997</v>
      </c>
      <c r="J329" s="48"/>
      <c r="K329" s="48">
        <v>5696</v>
      </c>
      <c r="L329" s="48"/>
      <c r="M329" s="48">
        <v>0</v>
      </c>
      <c r="N329" s="48"/>
      <c r="O329" s="48">
        <v>136.80000000000001</v>
      </c>
      <c r="P329" s="48"/>
      <c r="Q329" s="48">
        <v>311116.84999999998</v>
      </c>
      <c r="R329" s="48"/>
      <c r="S329" s="48">
        <v>5604</v>
      </c>
      <c r="T329" s="48"/>
      <c r="U329" s="48">
        <v>3698.38</v>
      </c>
      <c r="V329" s="48"/>
      <c r="W329" s="48">
        <v>442.14</v>
      </c>
      <c r="X329" s="48"/>
      <c r="Y329" s="48">
        <v>948050</v>
      </c>
      <c r="Z329" s="48"/>
      <c r="AA329" s="48">
        <v>0</v>
      </c>
      <c r="AB329" s="48"/>
      <c r="AC329" s="48">
        <v>0</v>
      </c>
      <c r="AD329" s="48"/>
      <c r="AE329" s="48">
        <f t="shared" si="19"/>
        <v>1387366.57</v>
      </c>
      <c r="AF329" s="1"/>
      <c r="AG329" s="55">
        <v>180511.48</v>
      </c>
      <c r="AH329" s="55"/>
      <c r="AI329" s="55">
        <v>241114.86</v>
      </c>
      <c r="AJ329" s="55"/>
      <c r="AK329" s="55">
        <v>421626.34</v>
      </c>
      <c r="AL329" s="8">
        <f>+'Gen Rev'!AI330-'Gen Exp'!AE329+'Gen Exp'!AI329-AK329</f>
        <v>0</v>
      </c>
      <c r="AM329" s="21" t="str">
        <f>'Gen Rev'!A330</f>
        <v>Loudonville</v>
      </c>
      <c r="AN329" s="67" t="str">
        <f t="shared" si="17"/>
        <v>Loudonville</v>
      </c>
      <c r="AO329" s="67" t="b">
        <f t="shared" si="18"/>
        <v>1</v>
      </c>
    </row>
    <row r="330" spans="1:41" ht="12" customHeight="1" x14ac:dyDescent="0.2">
      <c r="A330" s="1" t="s">
        <v>228</v>
      </c>
      <c r="C330" s="1" t="s">
        <v>545</v>
      </c>
      <c r="E330" s="48">
        <v>24036.16</v>
      </c>
      <c r="F330" s="48"/>
      <c r="G330" s="48">
        <v>2009.46</v>
      </c>
      <c r="H330" s="48"/>
      <c r="I330" s="48">
        <v>15537.43</v>
      </c>
      <c r="J330" s="48"/>
      <c r="K330" s="48">
        <v>0</v>
      </c>
      <c r="L330" s="48"/>
      <c r="M330" s="48">
        <v>0</v>
      </c>
      <c r="N330" s="48"/>
      <c r="O330" s="48">
        <v>0</v>
      </c>
      <c r="P330" s="48"/>
      <c r="Q330" s="48">
        <v>22879.45</v>
      </c>
      <c r="R330" s="48"/>
      <c r="S330" s="48">
        <v>0</v>
      </c>
      <c r="T330" s="48"/>
      <c r="U330" s="48">
        <v>0</v>
      </c>
      <c r="V330" s="48"/>
      <c r="W330" s="48">
        <v>0</v>
      </c>
      <c r="X330" s="48"/>
      <c r="Y330" s="48">
        <v>0</v>
      </c>
      <c r="Z330" s="48"/>
      <c r="AA330" s="48">
        <v>0</v>
      </c>
      <c r="AB330" s="48"/>
      <c r="AC330" s="48">
        <v>0</v>
      </c>
      <c r="AD330" s="48"/>
      <c r="AE330" s="48">
        <f t="shared" si="19"/>
        <v>64462.5</v>
      </c>
      <c r="AG330" s="55">
        <v>-436.9</v>
      </c>
      <c r="AI330" s="55">
        <v>24964.3</v>
      </c>
      <c r="AK330" s="55">
        <v>24527.4</v>
      </c>
      <c r="AL330" s="8">
        <f>+'Gen Rev'!AI331-'Gen Exp'!AE330+'Gen Exp'!AI330-AK330</f>
        <v>0</v>
      </c>
      <c r="AM330" s="21" t="str">
        <f>'Gen Rev'!A331</f>
        <v>Lowell</v>
      </c>
      <c r="AN330" s="67" t="str">
        <f t="shared" si="17"/>
        <v>Lowell</v>
      </c>
      <c r="AO330" s="67" t="b">
        <f t="shared" si="18"/>
        <v>1</v>
      </c>
    </row>
    <row r="331" spans="1:41" ht="12" customHeight="1" x14ac:dyDescent="0.2"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L331" s="8"/>
      <c r="AM331" s="21"/>
      <c r="AN331" s="67"/>
      <c r="AO331" s="67"/>
    </row>
    <row r="332" spans="1:41" ht="12" customHeight="1" x14ac:dyDescent="0.2"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88" t="s">
        <v>733</v>
      </c>
      <c r="AL332" s="8"/>
      <c r="AM332" s="21"/>
      <c r="AN332" s="67"/>
      <c r="AO332" s="67"/>
    </row>
    <row r="333" spans="1:41" ht="12" customHeight="1" x14ac:dyDescent="0.2"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L333" s="8"/>
      <c r="AM333" s="21"/>
      <c r="AN333" s="67"/>
      <c r="AO333" s="67"/>
    </row>
    <row r="334" spans="1:41" s="67" customFormat="1" ht="12" customHeight="1" x14ac:dyDescent="0.2">
      <c r="A334" s="1" t="s">
        <v>723</v>
      </c>
      <c r="B334" s="1"/>
      <c r="C334" s="1" t="s">
        <v>429</v>
      </c>
      <c r="D334" s="1"/>
      <c r="E334" s="68">
        <v>382640.1</v>
      </c>
      <c r="F334" s="48"/>
      <c r="G334" s="68">
        <v>4158.63</v>
      </c>
      <c r="H334" s="68"/>
      <c r="I334" s="68">
        <v>0</v>
      </c>
      <c r="J334" s="68"/>
      <c r="K334" s="68">
        <v>4075.56</v>
      </c>
      <c r="L334" s="68"/>
      <c r="M334" s="68">
        <v>0</v>
      </c>
      <c r="N334" s="68"/>
      <c r="O334" s="68">
        <v>54202.75</v>
      </c>
      <c r="P334" s="68"/>
      <c r="Q334" s="68">
        <v>232041.33</v>
      </c>
      <c r="R334" s="68"/>
      <c r="S334" s="68">
        <v>0</v>
      </c>
      <c r="T334" s="68"/>
      <c r="U334" s="68">
        <v>0</v>
      </c>
      <c r="V334" s="68"/>
      <c r="W334" s="68">
        <v>0</v>
      </c>
      <c r="X334" s="68"/>
      <c r="Y334" s="68">
        <v>151000</v>
      </c>
      <c r="Z334" s="68"/>
      <c r="AA334" s="68">
        <v>0</v>
      </c>
      <c r="AB334" s="68"/>
      <c r="AC334" s="68">
        <v>29714.16</v>
      </c>
      <c r="AD334" s="68"/>
      <c r="AE334" s="68">
        <f t="shared" si="19"/>
        <v>857832.53</v>
      </c>
      <c r="AF334" s="1"/>
      <c r="AG334" s="55">
        <v>12059.83</v>
      </c>
      <c r="AH334" s="55"/>
      <c r="AI334" s="55">
        <v>173728.88</v>
      </c>
      <c r="AJ334" s="55"/>
      <c r="AK334" s="55">
        <v>185788.71</v>
      </c>
      <c r="AL334" s="8">
        <f>+'Gen Rev'!AI332-'Gen Exp'!AE334+'Gen Exp'!AI334-AK334</f>
        <v>0</v>
      </c>
      <c r="AM334" s="21" t="str">
        <f>'Gen Rev'!A332</f>
        <v>Lowellville</v>
      </c>
      <c r="AN334" s="67" t="str">
        <f t="shared" si="17"/>
        <v>Lowellville</v>
      </c>
      <c r="AO334" s="67" t="b">
        <f t="shared" si="18"/>
        <v>1</v>
      </c>
    </row>
    <row r="335" spans="1:41" ht="12" customHeight="1" x14ac:dyDescent="0.2">
      <c r="A335" s="1" t="s">
        <v>229</v>
      </c>
      <c r="C335" s="1" t="s">
        <v>545</v>
      </c>
      <c r="E335" s="48">
        <v>3546.86</v>
      </c>
      <c r="F335" s="48"/>
      <c r="G335" s="48">
        <v>309.82</v>
      </c>
      <c r="H335" s="48"/>
      <c r="I335" s="48">
        <v>1164.01</v>
      </c>
      <c r="J335" s="48"/>
      <c r="K335" s="48">
        <v>0</v>
      </c>
      <c r="L335" s="48"/>
      <c r="M335" s="48">
        <v>0</v>
      </c>
      <c r="N335" s="48"/>
      <c r="O335" s="48">
        <v>31.22</v>
      </c>
      <c r="P335" s="48"/>
      <c r="Q335" s="48">
        <v>19958.11</v>
      </c>
      <c r="R335" s="48"/>
      <c r="S335" s="48">
        <v>0</v>
      </c>
      <c r="T335" s="48"/>
      <c r="U335" s="48">
        <v>0</v>
      </c>
      <c r="V335" s="48"/>
      <c r="W335" s="48">
        <v>0</v>
      </c>
      <c r="X335" s="48"/>
      <c r="Y335" s="48">
        <v>0</v>
      </c>
      <c r="Z335" s="48"/>
      <c r="AA335" s="48">
        <v>0</v>
      </c>
      <c r="AB335" s="48"/>
      <c r="AC335" s="48">
        <v>0</v>
      </c>
      <c r="AD335" s="48"/>
      <c r="AE335" s="48">
        <f t="shared" si="19"/>
        <v>25010.02</v>
      </c>
      <c r="AG335" s="55">
        <v>-9117.86</v>
      </c>
      <c r="AI335" s="55">
        <v>12552.1</v>
      </c>
      <c r="AK335" s="55">
        <v>3434.24</v>
      </c>
      <c r="AL335" s="8">
        <f>+'Gen Rev'!AI333-'Gen Exp'!AE335+'Gen Exp'!AI335-AK335</f>
        <v>0</v>
      </c>
      <c r="AM335" s="21" t="str">
        <f>'Gen Rev'!A333</f>
        <v>Lower Salem</v>
      </c>
      <c r="AN335" s="67" t="str">
        <f t="shared" si="17"/>
        <v>Lower Salem</v>
      </c>
      <c r="AO335" s="67" t="b">
        <f t="shared" si="18"/>
        <v>1</v>
      </c>
    </row>
    <row r="336" spans="1:41" s="6" customFormat="1" ht="12" customHeight="1" x14ac:dyDescent="0.2">
      <c r="A336" s="1" t="s">
        <v>423</v>
      </c>
      <c r="B336" s="1"/>
      <c r="C336" s="1" t="s">
        <v>481</v>
      </c>
      <c r="D336" s="1"/>
      <c r="E336" s="48">
        <v>25000</v>
      </c>
      <c r="F336" s="48"/>
      <c r="G336" s="48">
        <v>2304</v>
      </c>
      <c r="H336" s="48"/>
      <c r="I336" s="48">
        <v>0</v>
      </c>
      <c r="J336" s="48"/>
      <c r="K336" s="48">
        <v>17870</v>
      </c>
      <c r="L336" s="48"/>
      <c r="M336" s="48">
        <v>0</v>
      </c>
      <c r="N336" s="48"/>
      <c r="O336" s="48">
        <v>727</v>
      </c>
      <c r="P336" s="48"/>
      <c r="Q336" s="48">
        <v>43939</v>
      </c>
      <c r="R336" s="48"/>
      <c r="S336" s="48">
        <v>65935</v>
      </c>
      <c r="T336" s="48"/>
      <c r="U336" s="48">
        <v>0</v>
      </c>
      <c r="V336" s="48"/>
      <c r="W336" s="48">
        <v>10</v>
      </c>
      <c r="X336" s="48"/>
      <c r="Y336" s="48">
        <v>40000</v>
      </c>
      <c r="Z336" s="48"/>
      <c r="AA336" s="48">
        <v>0</v>
      </c>
      <c r="AB336" s="48"/>
      <c r="AC336" s="48">
        <v>0</v>
      </c>
      <c r="AD336" s="48"/>
      <c r="AE336" s="48">
        <f t="shared" si="19"/>
        <v>195785</v>
      </c>
      <c r="AF336" s="48"/>
      <c r="AG336" s="59"/>
      <c r="AH336" s="59"/>
      <c r="AI336" s="59"/>
      <c r="AJ336" s="59"/>
      <c r="AK336" s="59"/>
      <c r="AL336" s="8">
        <f>+'Gen Rev'!AI334-'Gen Exp'!AE336+'Gen Exp'!AI336-AK336</f>
        <v>-19087</v>
      </c>
      <c r="AM336" s="21" t="str">
        <f>'Gen Rev'!A334</f>
        <v>Lucas</v>
      </c>
      <c r="AN336" s="67" t="str">
        <f t="shared" si="17"/>
        <v>Lucas</v>
      </c>
      <c r="AO336" s="67" t="b">
        <f t="shared" si="18"/>
        <v>1</v>
      </c>
    </row>
    <row r="337" spans="1:41" ht="12" customHeight="1" x14ac:dyDescent="0.2">
      <c r="A337" s="1" t="s">
        <v>561</v>
      </c>
      <c r="C337" s="1" t="s">
        <v>558</v>
      </c>
      <c r="E337" s="48">
        <v>84821.73</v>
      </c>
      <c r="F337" s="48"/>
      <c r="G337" s="48">
        <v>0</v>
      </c>
      <c r="H337" s="48"/>
      <c r="I337" s="48">
        <v>9438.16</v>
      </c>
      <c r="J337" s="48"/>
      <c r="K337" s="48">
        <v>54131.67</v>
      </c>
      <c r="L337" s="48"/>
      <c r="M337" s="48">
        <v>87138.96</v>
      </c>
      <c r="N337" s="48"/>
      <c r="O337" s="48">
        <v>0</v>
      </c>
      <c r="P337" s="48"/>
      <c r="Q337" s="48">
        <v>92137.97</v>
      </c>
      <c r="R337" s="48"/>
      <c r="S337" s="48">
        <v>0</v>
      </c>
      <c r="T337" s="48"/>
      <c r="U337" s="48">
        <v>0</v>
      </c>
      <c r="V337" s="48"/>
      <c r="W337" s="48">
        <v>0</v>
      </c>
      <c r="X337" s="48"/>
      <c r="Y337" s="48">
        <v>36902.480000000003</v>
      </c>
      <c r="Z337" s="48"/>
      <c r="AA337" s="48">
        <v>0</v>
      </c>
      <c r="AB337" s="48"/>
      <c r="AC337" s="48">
        <v>0</v>
      </c>
      <c r="AD337" s="48"/>
      <c r="AE337" s="48">
        <f t="shared" si="19"/>
        <v>364570.97</v>
      </c>
      <c r="AG337" s="55">
        <v>4303.9399999999996</v>
      </c>
      <c r="AI337" s="55">
        <v>144757.32</v>
      </c>
      <c r="AK337" s="55">
        <v>149061.26</v>
      </c>
      <c r="AL337" s="8">
        <f>+'Gen Rev'!AI335-'Gen Exp'!AE337+'Gen Exp'!AI337-AK337</f>
        <v>0</v>
      </c>
      <c r="AM337" s="21" t="str">
        <f>'Gen Rev'!A335</f>
        <v>Luckey</v>
      </c>
      <c r="AN337" s="67" t="str">
        <f t="shared" si="17"/>
        <v>Luckey</v>
      </c>
      <c r="AO337" s="67" t="b">
        <f t="shared" si="18"/>
        <v>1</v>
      </c>
    </row>
    <row r="338" spans="1:41" s="67" customFormat="1" ht="12" customHeight="1" x14ac:dyDescent="0.2">
      <c r="A338" s="1" t="s">
        <v>105</v>
      </c>
      <c r="B338" s="1"/>
      <c r="C338" s="1" t="s">
        <v>379</v>
      </c>
      <c r="D338" s="1"/>
      <c r="E338" s="48">
        <v>1507.26</v>
      </c>
      <c r="F338" s="48"/>
      <c r="G338" s="48">
        <v>4816.8999999999996</v>
      </c>
      <c r="H338" s="48"/>
      <c r="I338" s="48">
        <v>21212.43</v>
      </c>
      <c r="J338" s="48"/>
      <c r="K338" s="48">
        <v>0</v>
      </c>
      <c r="L338" s="48"/>
      <c r="M338" s="48">
        <v>2693.2</v>
      </c>
      <c r="N338" s="48"/>
      <c r="O338" s="48">
        <v>0</v>
      </c>
      <c r="P338" s="48"/>
      <c r="Q338" s="48">
        <v>114131.16</v>
      </c>
      <c r="R338" s="48"/>
      <c r="S338" s="48">
        <v>19940.72</v>
      </c>
      <c r="T338" s="48"/>
      <c r="U338" s="48">
        <v>0</v>
      </c>
      <c r="V338" s="48"/>
      <c r="W338" s="48">
        <v>0</v>
      </c>
      <c r="X338" s="48"/>
      <c r="Y338" s="48">
        <v>232.66</v>
      </c>
      <c r="Z338" s="48"/>
      <c r="AA338" s="48">
        <v>0</v>
      </c>
      <c r="AB338" s="48"/>
      <c r="AC338" s="48">
        <v>0</v>
      </c>
      <c r="AD338" s="48"/>
      <c r="AE338" s="48">
        <f t="shared" si="19"/>
        <v>164534.33000000002</v>
      </c>
      <c r="AF338" s="1"/>
      <c r="AG338" s="55">
        <v>39181.65</v>
      </c>
      <c r="AH338" s="55"/>
      <c r="AI338" s="55">
        <v>119547.56</v>
      </c>
      <c r="AJ338" s="55"/>
      <c r="AK338" s="55">
        <v>158729.21</v>
      </c>
      <c r="AL338" s="8">
        <f>+'Gen Rev'!AI336-'Gen Exp'!AE338+'Gen Exp'!AI338-AK338</f>
        <v>0</v>
      </c>
      <c r="AM338" s="21" t="str">
        <f>'Gen Rev'!A336</f>
        <v>Lynchburg</v>
      </c>
      <c r="AN338" s="67" t="str">
        <f t="shared" si="17"/>
        <v>Lynchburg</v>
      </c>
      <c r="AO338" s="67" t="b">
        <f t="shared" si="18"/>
        <v>1</v>
      </c>
    </row>
    <row r="339" spans="1:41" s="67" customFormat="1" ht="12" customHeight="1" x14ac:dyDescent="0.2">
      <c r="A339" s="1" t="s">
        <v>73</v>
      </c>
      <c r="B339" s="1"/>
      <c r="C339" s="1" t="s">
        <v>332</v>
      </c>
      <c r="D339" s="1"/>
      <c r="E339" s="48">
        <v>14110.2</v>
      </c>
      <c r="F339" s="48"/>
      <c r="G339" s="48">
        <v>0</v>
      </c>
      <c r="H339" s="48"/>
      <c r="I339" s="48">
        <v>0</v>
      </c>
      <c r="J339" s="48"/>
      <c r="K339" s="48">
        <v>600</v>
      </c>
      <c r="L339" s="48"/>
      <c r="M339" s="48">
        <v>2721.3</v>
      </c>
      <c r="N339" s="48"/>
      <c r="O339" s="48">
        <v>13215.48</v>
      </c>
      <c r="P339" s="48"/>
      <c r="Q339" s="48">
        <v>81682.070000000007</v>
      </c>
      <c r="R339" s="48"/>
      <c r="S339" s="48">
        <v>0</v>
      </c>
      <c r="T339" s="48"/>
      <c r="U339" s="48">
        <v>0</v>
      </c>
      <c r="V339" s="48"/>
      <c r="W339" s="48">
        <v>0</v>
      </c>
      <c r="X339" s="48"/>
      <c r="Y339" s="48">
        <v>500</v>
      </c>
      <c r="Z339" s="48"/>
      <c r="AA339" s="48">
        <v>0</v>
      </c>
      <c r="AB339" s="48"/>
      <c r="AC339" s="48">
        <v>0</v>
      </c>
      <c r="AD339" s="48"/>
      <c r="AE339" s="48">
        <f t="shared" si="19"/>
        <v>112829.05</v>
      </c>
      <c r="AF339" s="1"/>
      <c r="AG339" s="55">
        <v>-6016.43</v>
      </c>
      <c r="AH339" s="55"/>
      <c r="AI339" s="55">
        <v>176545.78</v>
      </c>
      <c r="AJ339" s="55"/>
      <c r="AK339" s="55">
        <v>170529.35</v>
      </c>
      <c r="AL339" s="8">
        <f>+'Gen Rev'!AI337-'Gen Exp'!AE339+'Gen Exp'!AI339-AK339</f>
        <v>0</v>
      </c>
      <c r="AM339" s="21" t="str">
        <f>'Gen Rev'!A337</f>
        <v>Lyons</v>
      </c>
      <c r="AN339" s="67" t="str">
        <f t="shared" si="17"/>
        <v>Lyons</v>
      </c>
      <c r="AO339" s="67" t="b">
        <f t="shared" si="18"/>
        <v>1</v>
      </c>
    </row>
    <row r="340" spans="1:41" s="67" customFormat="1" ht="12" customHeight="1" x14ac:dyDescent="0.2">
      <c r="A340" s="1" t="s">
        <v>401</v>
      </c>
      <c r="B340" s="1"/>
      <c r="C340" s="1" t="s">
        <v>399</v>
      </c>
      <c r="D340" s="1"/>
      <c r="E340" s="48">
        <v>538172.13</v>
      </c>
      <c r="F340" s="48"/>
      <c r="G340" s="48">
        <v>0</v>
      </c>
      <c r="H340" s="48"/>
      <c r="I340" s="48">
        <v>22424.55</v>
      </c>
      <c r="J340" s="48"/>
      <c r="K340" s="48">
        <v>0</v>
      </c>
      <c r="L340" s="48"/>
      <c r="M340" s="48">
        <v>0</v>
      </c>
      <c r="N340" s="48"/>
      <c r="O340" s="48">
        <v>0</v>
      </c>
      <c r="P340" s="48"/>
      <c r="Q340" s="48">
        <v>348177.53</v>
      </c>
      <c r="R340" s="48"/>
      <c r="S340" s="48">
        <v>34891</v>
      </c>
      <c r="T340" s="48"/>
      <c r="U340" s="48">
        <v>0</v>
      </c>
      <c r="V340" s="48"/>
      <c r="W340" s="48">
        <v>0</v>
      </c>
      <c r="X340" s="48"/>
      <c r="Y340" s="48">
        <v>201500</v>
      </c>
      <c r="Z340" s="48"/>
      <c r="AA340" s="48">
        <v>0</v>
      </c>
      <c r="AB340" s="48"/>
      <c r="AC340" s="48">
        <v>0</v>
      </c>
      <c r="AD340" s="48"/>
      <c r="AE340" s="48">
        <f t="shared" si="19"/>
        <v>1145165.21</v>
      </c>
      <c r="AF340" s="1"/>
      <c r="AG340" s="55">
        <v>94696.08</v>
      </c>
      <c r="AH340" s="55"/>
      <c r="AI340" s="55">
        <v>291728.43</v>
      </c>
      <c r="AJ340" s="55"/>
      <c r="AK340" s="55">
        <v>386424.51</v>
      </c>
      <c r="AL340" s="8">
        <f>+'Gen Rev'!AI338-'Gen Exp'!AE340+'Gen Exp'!AI340-AK340</f>
        <v>0</v>
      </c>
      <c r="AM340" s="21" t="str">
        <f>'Gen Rev'!A338</f>
        <v>Madison</v>
      </c>
      <c r="AN340" s="67" t="str">
        <f t="shared" si="17"/>
        <v>Madison</v>
      </c>
      <c r="AO340" s="67" t="b">
        <f t="shared" si="18"/>
        <v>1</v>
      </c>
    </row>
    <row r="341" spans="1:41" s="67" customFormat="1" ht="12" customHeight="1" x14ac:dyDescent="0.2">
      <c r="A341" s="1" t="s">
        <v>221</v>
      </c>
      <c r="B341" s="1"/>
      <c r="C341" s="1" t="s">
        <v>531</v>
      </c>
      <c r="D341" s="1"/>
      <c r="E341" s="48">
        <v>3929.74</v>
      </c>
      <c r="F341" s="48"/>
      <c r="G341" s="48">
        <v>4115.8599999999997</v>
      </c>
      <c r="H341" s="48"/>
      <c r="I341" s="48">
        <v>766.83</v>
      </c>
      <c r="J341" s="48"/>
      <c r="K341" s="48">
        <v>0</v>
      </c>
      <c r="L341" s="48"/>
      <c r="M341" s="48">
        <v>0</v>
      </c>
      <c r="N341" s="48"/>
      <c r="O341" s="48">
        <v>0</v>
      </c>
      <c r="P341" s="48"/>
      <c r="Q341" s="48">
        <v>18951.28</v>
      </c>
      <c r="R341" s="48"/>
      <c r="S341" s="48">
        <v>150</v>
      </c>
      <c r="T341" s="48"/>
      <c r="U341" s="48">
        <v>0</v>
      </c>
      <c r="V341" s="48"/>
      <c r="W341" s="48">
        <v>0</v>
      </c>
      <c r="X341" s="48"/>
      <c r="Y341" s="48">
        <v>0</v>
      </c>
      <c r="Z341" s="48"/>
      <c r="AA341" s="48">
        <v>0</v>
      </c>
      <c r="AB341" s="48"/>
      <c r="AC341" s="48">
        <v>40</v>
      </c>
      <c r="AD341" s="48"/>
      <c r="AE341" s="48">
        <f t="shared" si="19"/>
        <v>27953.71</v>
      </c>
      <c r="AF341" s="1"/>
      <c r="AG341" s="55">
        <v>5453.48</v>
      </c>
      <c r="AH341" s="55"/>
      <c r="AI341" s="55">
        <v>22165.65</v>
      </c>
      <c r="AJ341" s="55"/>
      <c r="AK341" s="55">
        <v>27619.13</v>
      </c>
      <c r="AL341" s="8">
        <f>+'Gen Rev'!AI339-'Gen Exp'!AE341+'Gen Exp'!AI341-AK341</f>
        <v>0</v>
      </c>
      <c r="AM341" s="21" t="str">
        <f>'Gen Rev'!A339</f>
        <v>Magnetic Springs</v>
      </c>
      <c r="AN341" s="67" t="str">
        <f t="shared" si="17"/>
        <v>Magnetic Springs</v>
      </c>
      <c r="AO341" s="67" t="b">
        <f t="shared" si="18"/>
        <v>1</v>
      </c>
    </row>
    <row r="342" spans="1:41" s="67" customFormat="1" ht="12" customHeight="1" x14ac:dyDescent="0.2">
      <c r="A342" s="1" t="s">
        <v>506</v>
      </c>
      <c r="B342" s="1"/>
      <c r="C342" s="1" t="s">
        <v>502</v>
      </c>
      <c r="D342" s="6"/>
      <c r="E342" s="48">
        <v>184812</v>
      </c>
      <c r="F342" s="48"/>
      <c r="G342" s="48">
        <v>4240</v>
      </c>
      <c r="H342" s="48"/>
      <c r="I342" s="48">
        <v>14694</v>
      </c>
      <c r="J342" s="48"/>
      <c r="K342" s="48">
        <v>0</v>
      </c>
      <c r="L342" s="48"/>
      <c r="M342" s="48">
        <v>10777</v>
      </c>
      <c r="N342" s="48"/>
      <c r="O342" s="48">
        <v>22506</v>
      </c>
      <c r="P342" s="48"/>
      <c r="Q342" s="48">
        <v>67126</v>
      </c>
      <c r="R342" s="48"/>
      <c r="S342" s="48">
        <v>0</v>
      </c>
      <c r="T342" s="48"/>
      <c r="U342" s="48">
        <v>6031</v>
      </c>
      <c r="V342" s="48"/>
      <c r="W342" s="48">
        <v>1684</v>
      </c>
      <c r="X342" s="48"/>
      <c r="Y342" s="48">
        <v>16898</v>
      </c>
      <c r="Z342" s="48"/>
      <c r="AA342" s="48">
        <v>0</v>
      </c>
      <c r="AB342" s="48"/>
      <c r="AC342" s="48">
        <v>0</v>
      </c>
      <c r="AD342" s="48"/>
      <c r="AE342" s="48">
        <f t="shared" si="19"/>
        <v>328768</v>
      </c>
      <c r="AF342" s="48"/>
      <c r="AG342" s="59"/>
      <c r="AH342" s="59"/>
      <c r="AI342" s="59"/>
      <c r="AJ342" s="59"/>
      <c r="AK342" s="59"/>
      <c r="AL342" s="8">
        <f>+'Gen Rev'!AI340-'Gen Exp'!AE342+'Gen Exp'!AI342-AK342</f>
        <v>21204</v>
      </c>
      <c r="AM342" s="21" t="str">
        <f>'Gen Rev'!A340</f>
        <v>Magnolia</v>
      </c>
      <c r="AN342" s="67" t="str">
        <f t="shared" si="17"/>
        <v>Magnolia</v>
      </c>
      <c r="AO342" s="67" t="b">
        <f t="shared" si="18"/>
        <v>1</v>
      </c>
    </row>
    <row r="343" spans="1:41" s="5" customFormat="1" ht="12" customHeight="1" x14ac:dyDescent="0.2">
      <c r="A343" s="1" t="s">
        <v>225</v>
      </c>
      <c r="B343" s="1"/>
      <c r="C343" s="1" t="s">
        <v>541</v>
      </c>
      <c r="D343" s="1"/>
      <c r="E343" s="48">
        <v>151790.13</v>
      </c>
      <c r="F343" s="48"/>
      <c r="G343" s="48">
        <v>0</v>
      </c>
      <c r="H343" s="48"/>
      <c r="I343" s="48">
        <v>0</v>
      </c>
      <c r="J343" s="48"/>
      <c r="K343" s="48">
        <v>11047.64</v>
      </c>
      <c r="L343" s="48"/>
      <c r="M343" s="48">
        <v>82509.45</v>
      </c>
      <c r="N343" s="48"/>
      <c r="O343" s="48">
        <v>63204.07</v>
      </c>
      <c r="P343" s="48"/>
      <c r="Q343" s="48">
        <v>148317.82</v>
      </c>
      <c r="R343" s="48"/>
      <c r="S343" s="48">
        <v>30736.11</v>
      </c>
      <c r="T343" s="48"/>
      <c r="U343" s="48">
        <v>2650</v>
      </c>
      <c r="V343" s="48"/>
      <c r="W343" s="48">
        <v>159</v>
      </c>
      <c r="X343" s="48"/>
      <c r="Y343" s="48">
        <v>0</v>
      </c>
      <c r="Z343" s="48"/>
      <c r="AA343" s="48">
        <v>0</v>
      </c>
      <c r="AB343" s="48"/>
      <c r="AC343" s="48">
        <v>0</v>
      </c>
      <c r="AD343" s="48"/>
      <c r="AE343" s="48">
        <f t="shared" si="19"/>
        <v>490414.22000000003</v>
      </c>
      <c r="AF343" s="1"/>
      <c r="AG343" s="55">
        <v>48503.32</v>
      </c>
      <c r="AH343" s="55"/>
      <c r="AI343" s="55">
        <v>314305.09999999998</v>
      </c>
      <c r="AJ343" s="55"/>
      <c r="AK343" s="55">
        <v>362808.42</v>
      </c>
      <c r="AL343" s="8">
        <f>+'Gen Rev'!AI344-'Gen Exp'!AE343+'Gen Exp'!AI343-AK343</f>
        <v>0</v>
      </c>
      <c r="AM343" s="21" t="str">
        <f>'Gen Rev'!A344</f>
        <v>Maineville</v>
      </c>
      <c r="AN343" s="67" t="str">
        <f t="shared" si="17"/>
        <v>Maineville</v>
      </c>
      <c r="AO343" s="67" t="b">
        <f t="shared" si="18"/>
        <v>1</v>
      </c>
    </row>
    <row r="344" spans="1:41" ht="12" customHeight="1" x14ac:dyDescent="0.2">
      <c r="A344" s="1" t="s">
        <v>102</v>
      </c>
      <c r="C344" s="1" t="s">
        <v>377</v>
      </c>
      <c r="E344" s="48">
        <v>10260.66</v>
      </c>
      <c r="F344" s="48"/>
      <c r="G344" s="48">
        <v>0</v>
      </c>
      <c r="H344" s="48"/>
      <c r="I344" s="48">
        <v>3535.73</v>
      </c>
      <c r="J344" s="48"/>
      <c r="K344" s="48">
        <v>525</v>
      </c>
      <c r="L344" s="48"/>
      <c r="M344" s="48">
        <v>2056.85</v>
      </c>
      <c r="N344" s="48"/>
      <c r="O344" s="48">
        <v>182.12</v>
      </c>
      <c r="P344" s="48"/>
      <c r="Q344" s="48">
        <v>54544.43</v>
      </c>
      <c r="R344" s="48"/>
      <c r="S344" s="48">
        <v>12315</v>
      </c>
      <c r="T344" s="48"/>
      <c r="U344" s="48">
        <v>0</v>
      </c>
      <c r="V344" s="48"/>
      <c r="W344" s="48">
        <v>0</v>
      </c>
      <c r="X344" s="48"/>
      <c r="Y344" s="48">
        <v>1000</v>
      </c>
      <c r="Z344" s="48"/>
      <c r="AA344" s="48">
        <v>0</v>
      </c>
      <c r="AB344" s="48"/>
      <c r="AC344" s="48">
        <v>250</v>
      </c>
      <c r="AD344" s="48"/>
      <c r="AE344" s="48">
        <f t="shared" si="19"/>
        <v>84669.790000000008</v>
      </c>
      <c r="AG344" s="55">
        <v>-8088.32</v>
      </c>
      <c r="AI344" s="55">
        <v>89867.79</v>
      </c>
      <c r="AK344" s="55">
        <v>81779.47</v>
      </c>
      <c r="AL344" s="8">
        <f>+'Gen Rev'!AI345-'Gen Exp'!AE344+'Gen Exp'!AI344-AK344</f>
        <v>0</v>
      </c>
      <c r="AM344" s="21" t="str">
        <f>'Gen Rev'!A345</f>
        <v>Malinta</v>
      </c>
      <c r="AN344" s="67" t="str">
        <f t="shared" si="17"/>
        <v>Malinta</v>
      </c>
      <c r="AO344" s="67" t="b">
        <f t="shared" si="18"/>
        <v>1</v>
      </c>
    </row>
    <row r="345" spans="1:41" s="67" customFormat="1" ht="12" customHeight="1" x14ac:dyDescent="0.2">
      <c r="A345" s="1" t="s">
        <v>804</v>
      </c>
      <c r="B345" s="1"/>
      <c r="C345" s="1" t="s">
        <v>765</v>
      </c>
      <c r="D345" s="1"/>
      <c r="E345" s="48">
        <v>0</v>
      </c>
      <c r="F345" s="48"/>
      <c r="G345" s="48">
        <v>3096.29</v>
      </c>
      <c r="H345" s="48"/>
      <c r="I345" s="48">
        <v>0</v>
      </c>
      <c r="J345" s="48"/>
      <c r="K345" s="48">
        <v>0</v>
      </c>
      <c r="L345" s="48"/>
      <c r="M345" s="48">
        <v>0</v>
      </c>
      <c r="N345" s="48"/>
      <c r="O345" s="48">
        <v>0</v>
      </c>
      <c r="P345" s="48"/>
      <c r="Q345" s="48">
        <v>106137.42</v>
      </c>
      <c r="R345" s="48"/>
      <c r="S345" s="48">
        <v>0</v>
      </c>
      <c r="T345" s="48"/>
      <c r="U345" s="48">
        <v>0</v>
      </c>
      <c r="V345" s="48"/>
      <c r="W345" s="48">
        <v>0</v>
      </c>
      <c r="X345" s="48"/>
      <c r="Y345" s="48">
        <v>0</v>
      </c>
      <c r="Z345" s="48"/>
      <c r="AA345" s="48">
        <v>0</v>
      </c>
      <c r="AB345" s="48"/>
      <c r="AC345" s="48">
        <v>11.52</v>
      </c>
      <c r="AD345" s="48"/>
      <c r="AE345" s="48">
        <f t="shared" si="19"/>
        <v>109245.23</v>
      </c>
      <c r="AF345" s="1"/>
      <c r="AG345" s="55">
        <v>43927.44</v>
      </c>
      <c r="AH345" s="55"/>
      <c r="AI345" s="55">
        <v>118520.75</v>
      </c>
      <c r="AJ345" s="55"/>
      <c r="AK345" s="55">
        <v>162448.19</v>
      </c>
      <c r="AL345" s="8">
        <f>+'Gen Rev'!AI346-'Gen Exp'!AE345+'Gen Exp'!AI345-AK345</f>
        <v>0</v>
      </c>
      <c r="AM345" s="21" t="str">
        <f>'Gen Rev'!A346</f>
        <v>Malta</v>
      </c>
      <c r="AN345" s="67" t="str">
        <f t="shared" ref="AN345:AN411" si="20">A345</f>
        <v>Malta</v>
      </c>
      <c r="AO345" s="67" t="b">
        <f t="shared" ref="AO345:AO411" si="21">AM345=AN345</f>
        <v>1</v>
      </c>
    </row>
    <row r="346" spans="1:41" s="67" customFormat="1" ht="12" customHeight="1" x14ac:dyDescent="0.2">
      <c r="A346" s="1" t="s">
        <v>29</v>
      </c>
      <c r="B346" s="1"/>
      <c r="C346" s="1" t="s">
        <v>57</v>
      </c>
      <c r="D346" s="1"/>
      <c r="E346" s="48">
        <v>20907.93</v>
      </c>
      <c r="F346" s="48"/>
      <c r="G346" s="48">
        <v>7234.88</v>
      </c>
      <c r="H346" s="48"/>
      <c r="I346" s="48">
        <v>37332.47</v>
      </c>
      <c r="J346" s="48"/>
      <c r="K346" s="48">
        <v>0</v>
      </c>
      <c r="L346" s="48"/>
      <c r="M346" s="48">
        <v>0</v>
      </c>
      <c r="N346" s="48"/>
      <c r="O346" s="48">
        <v>0</v>
      </c>
      <c r="P346" s="48"/>
      <c r="Q346" s="48">
        <v>148456.62</v>
      </c>
      <c r="R346" s="48"/>
      <c r="S346" s="48">
        <v>0</v>
      </c>
      <c r="T346" s="48"/>
      <c r="U346" s="48">
        <v>0</v>
      </c>
      <c r="V346" s="48"/>
      <c r="W346" s="48">
        <v>0</v>
      </c>
      <c r="X346" s="48"/>
      <c r="Y346" s="48">
        <v>52419.4</v>
      </c>
      <c r="Z346" s="48"/>
      <c r="AA346" s="48">
        <v>0</v>
      </c>
      <c r="AB346" s="48"/>
      <c r="AC346" s="48">
        <v>0</v>
      </c>
      <c r="AD346" s="48"/>
      <c r="AE346" s="48">
        <f t="shared" si="19"/>
        <v>266351.3</v>
      </c>
      <c r="AF346" s="1"/>
      <c r="AG346" s="55">
        <v>8492.6299999999992</v>
      </c>
      <c r="AH346" s="55"/>
      <c r="AI346" s="55">
        <v>130990.16</v>
      </c>
      <c r="AJ346" s="55"/>
      <c r="AK346" s="55">
        <v>139482.79</v>
      </c>
      <c r="AL346" s="8">
        <f>+'Gen Rev'!AI347-'Gen Exp'!AE346+'Gen Exp'!AI346-AK346</f>
        <v>0</v>
      </c>
      <c r="AM346" s="21" t="str">
        <f>'Gen Rev'!A347</f>
        <v>Malvern</v>
      </c>
      <c r="AN346" s="67" t="str">
        <f t="shared" si="20"/>
        <v>Malvern</v>
      </c>
      <c r="AO346" s="67" t="b">
        <f t="shared" si="21"/>
        <v>1</v>
      </c>
    </row>
    <row r="347" spans="1:41" s="67" customFormat="1" ht="12" customHeight="1" x14ac:dyDescent="0.2">
      <c r="A347" s="1" t="s">
        <v>791</v>
      </c>
      <c r="B347" s="1"/>
      <c r="C347" s="1" t="s">
        <v>616</v>
      </c>
      <c r="E347" s="48">
        <v>13774.27</v>
      </c>
      <c r="F347" s="48"/>
      <c r="G347" s="48">
        <v>1808.48</v>
      </c>
      <c r="H347" s="48"/>
      <c r="I347" s="48">
        <v>0</v>
      </c>
      <c r="J347" s="48"/>
      <c r="K347" s="48">
        <v>0</v>
      </c>
      <c r="L347" s="48"/>
      <c r="M347" s="48">
        <v>0</v>
      </c>
      <c r="N347" s="48"/>
      <c r="O347" s="48">
        <v>0</v>
      </c>
      <c r="P347" s="48"/>
      <c r="Q347" s="48">
        <v>93829.17</v>
      </c>
      <c r="R347" s="48"/>
      <c r="S347" s="48">
        <v>0</v>
      </c>
      <c r="T347" s="48"/>
      <c r="U347" s="48">
        <v>0</v>
      </c>
      <c r="V347" s="48"/>
      <c r="W347" s="48">
        <v>0</v>
      </c>
      <c r="X347" s="48"/>
      <c r="Y347" s="48">
        <v>130000</v>
      </c>
      <c r="Z347" s="48"/>
      <c r="AA347" s="48">
        <v>0</v>
      </c>
      <c r="AB347" s="48"/>
      <c r="AC347" s="48">
        <v>11807.03</v>
      </c>
      <c r="AD347" s="48"/>
      <c r="AE347" s="48">
        <f t="shared" si="19"/>
        <v>251218.94999999998</v>
      </c>
      <c r="AF347" s="1"/>
      <c r="AG347" s="55">
        <v>-5108.76</v>
      </c>
      <c r="AH347" s="55"/>
      <c r="AI347" s="55">
        <v>96750.47</v>
      </c>
      <c r="AJ347" s="55"/>
      <c r="AK347" s="55">
        <v>91641.71</v>
      </c>
      <c r="AL347" s="8">
        <f>+'Gen Rev'!AI348-'Gen Exp'!AE347+'Gen Exp'!AI347-AK347</f>
        <v>0</v>
      </c>
      <c r="AM347" s="21" t="str">
        <f>'Gen Rev'!A348</f>
        <v>Manchester</v>
      </c>
      <c r="AN347" s="67" t="str">
        <f t="shared" si="20"/>
        <v>Manchester</v>
      </c>
      <c r="AO347" s="67" t="b">
        <f t="shared" si="21"/>
        <v>1</v>
      </c>
    </row>
    <row r="348" spans="1:41" s="67" customFormat="1" ht="12" customHeight="1" x14ac:dyDescent="0.2">
      <c r="A348" s="1" t="s">
        <v>180</v>
      </c>
      <c r="B348" s="1"/>
      <c r="C348" s="1" t="s">
        <v>241</v>
      </c>
      <c r="D348" s="1"/>
      <c r="E348" s="48">
        <v>438947.23</v>
      </c>
      <c r="F348" s="48"/>
      <c r="G348" s="48">
        <v>0</v>
      </c>
      <c r="H348" s="48"/>
      <c r="I348" s="48">
        <v>23908.61</v>
      </c>
      <c r="J348" s="48"/>
      <c r="K348" s="48">
        <v>3377.99</v>
      </c>
      <c r="L348" s="48"/>
      <c r="M348" s="48">
        <v>0</v>
      </c>
      <c r="N348" s="48"/>
      <c r="O348" s="48">
        <v>15927.89</v>
      </c>
      <c r="P348" s="48"/>
      <c r="Q348" s="48">
        <v>176123.37</v>
      </c>
      <c r="R348" s="48"/>
      <c r="S348" s="48">
        <v>0</v>
      </c>
      <c r="T348" s="48"/>
      <c r="U348" s="48">
        <v>1203.74</v>
      </c>
      <c r="V348" s="48"/>
      <c r="W348" s="48">
        <v>166.56</v>
      </c>
      <c r="X348" s="48"/>
      <c r="Y348" s="48">
        <v>61000</v>
      </c>
      <c r="Z348" s="48"/>
      <c r="AA348" s="48">
        <v>0</v>
      </c>
      <c r="AB348" s="48"/>
      <c r="AC348" s="48">
        <v>0</v>
      </c>
      <c r="AD348" s="48"/>
      <c r="AE348" s="48">
        <f t="shared" si="19"/>
        <v>720655.39</v>
      </c>
      <c r="AF348" s="1"/>
      <c r="AG348" s="55">
        <v>90174.98</v>
      </c>
      <c r="AH348" s="55"/>
      <c r="AI348" s="55">
        <v>125068.88</v>
      </c>
      <c r="AJ348" s="55"/>
      <c r="AK348" s="55">
        <v>215243.86</v>
      </c>
      <c r="AL348" s="8">
        <f>+'Gen Rev'!AI349-'Gen Exp'!AE348+'Gen Exp'!AI348-AK348</f>
        <v>0</v>
      </c>
      <c r="AM348" s="21" t="str">
        <f>'Gen Rev'!A349</f>
        <v>Mantua</v>
      </c>
      <c r="AN348" s="67" t="str">
        <f t="shared" si="20"/>
        <v>Mantua</v>
      </c>
      <c r="AO348" s="67" t="b">
        <f t="shared" si="21"/>
        <v>1</v>
      </c>
    </row>
    <row r="349" spans="1:41" ht="12" customHeight="1" x14ac:dyDescent="0.2">
      <c r="A349" s="1" t="s">
        <v>68</v>
      </c>
      <c r="C349" s="1" t="s">
        <v>329</v>
      </c>
      <c r="E349" s="48">
        <v>432476.25</v>
      </c>
      <c r="F349" s="48"/>
      <c r="G349" s="48">
        <v>8851.2999999999993</v>
      </c>
      <c r="H349" s="48"/>
      <c r="I349" s="48">
        <v>42867.06</v>
      </c>
      <c r="J349" s="48"/>
      <c r="K349" s="48">
        <v>788</v>
      </c>
      <c r="L349" s="48"/>
      <c r="M349" s="48">
        <v>74927.61</v>
      </c>
      <c r="N349" s="48"/>
      <c r="O349" s="48">
        <v>3192</v>
      </c>
      <c r="P349" s="48"/>
      <c r="Q349" s="48">
        <v>302090.23999999999</v>
      </c>
      <c r="R349" s="48"/>
      <c r="S349" s="48">
        <v>48992.68</v>
      </c>
      <c r="T349" s="48"/>
      <c r="U349" s="48">
        <v>0</v>
      </c>
      <c r="V349" s="48"/>
      <c r="W349" s="48">
        <v>0</v>
      </c>
      <c r="X349" s="48"/>
      <c r="Y349" s="48">
        <v>149092.59</v>
      </c>
      <c r="Z349" s="48"/>
      <c r="AA349" s="48">
        <v>0</v>
      </c>
      <c r="AB349" s="48"/>
      <c r="AC349" s="48">
        <v>0</v>
      </c>
      <c r="AD349" s="48"/>
      <c r="AE349" s="48">
        <f t="shared" si="19"/>
        <v>1063277.73</v>
      </c>
      <c r="AG349" s="55">
        <v>255317.26</v>
      </c>
      <c r="AI349" s="55">
        <v>2779005.8</v>
      </c>
      <c r="AK349" s="55">
        <v>3034323.06</v>
      </c>
      <c r="AL349" s="8">
        <f>+'Gen Rev'!AI350-'Gen Exp'!AE349+'Gen Exp'!AI349-AK349</f>
        <v>0</v>
      </c>
      <c r="AM349" s="21" t="str">
        <f>'Gen Rev'!A350</f>
        <v>Marble Cliff</v>
      </c>
      <c r="AN349" s="67" t="str">
        <f t="shared" si="20"/>
        <v>Marble Cliff</v>
      </c>
      <c r="AO349" s="67" t="b">
        <f t="shared" si="21"/>
        <v>1</v>
      </c>
    </row>
    <row r="350" spans="1:41" ht="12" customHeight="1" x14ac:dyDescent="0.2">
      <c r="A350" s="1" t="s">
        <v>711</v>
      </c>
      <c r="C350" s="1" t="s">
        <v>192</v>
      </c>
      <c r="E350" s="48">
        <v>337634.05</v>
      </c>
      <c r="F350" s="48"/>
      <c r="G350" s="48">
        <v>19497.05</v>
      </c>
      <c r="H350" s="48"/>
      <c r="I350" s="48">
        <v>24348.57</v>
      </c>
      <c r="J350" s="48"/>
      <c r="K350" s="48">
        <v>15706.59</v>
      </c>
      <c r="L350" s="48"/>
      <c r="M350" s="48">
        <v>0</v>
      </c>
      <c r="N350" s="48"/>
      <c r="O350" s="48">
        <v>120456.08</v>
      </c>
      <c r="P350" s="48"/>
      <c r="Q350" s="48">
        <v>128684.46</v>
      </c>
      <c r="R350" s="48"/>
      <c r="S350" s="48">
        <v>5611.36</v>
      </c>
      <c r="T350" s="48"/>
      <c r="U350" s="48">
        <v>0</v>
      </c>
      <c r="V350" s="48"/>
      <c r="W350" s="48">
        <v>0</v>
      </c>
      <c r="X350" s="48"/>
      <c r="Y350" s="48">
        <v>0</v>
      </c>
      <c r="Z350" s="48"/>
      <c r="AA350" s="48">
        <v>0</v>
      </c>
      <c r="AB350" s="48"/>
      <c r="AC350" s="48">
        <v>2861.46</v>
      </c>
      <c r="AD350" s="48"/>
      <c r="AE350" s="48">
        <f t="shared" si="19"/>
        <v>654799.62</v>
      </c>
      <c r="AG350" s="55">
        <v>38825.29</v>
      </c>
      <c r="AI350" s="55">
        <v>1237254.6599999999</v>
      </c>
      <c r="AK350" s="55">
        <v>1276079.95</v>
      </c>
      <c r="AL350" s="8">
        <f>+'Gen Rev'!AI351-'Gen Exp'!AE350+'Gen Exp'!AI350-AK350</f>
        <v>0</v>
      </c>
      <c r="AM350" s="21" t="str">
        <f>'Gen Rev'!A351</f>
        <v>Marblehead</v>
      </c>
      <c r="AN350" s="67" t="str">
        <f t="shared" si="20"/>
        <v>Marblehead</v>
      </c>
      <c r="AO350" s="67" t="b">
        <f t="shared" si="21"/>
        <v>1</v>
      </c>
    </row>
    <row r="351" spans="1:41" s="67" customFormat="1" ht="12" customHeight="1" x14ac:dyDescent="0.2">
      <c r="A351" s="1" t="s">
        <v>159</v>
      </c>
      <c r="B351" s="1"/>
      <c r="C351" s="1" t="s">
        <v>226</v>
      </c>
      <c r="D351" s="1"/>
      <c r="E351" s="48">
        <v>0</v>
      </c>
      <c r="F351" s="48"/>
      <c r="G351" s="48">
        <v>0</v>
      </c>
      <c r="H351" s="48"/>
      <c r="I351" s="48">
        <v>0</v>
      </c>
      <c r="J351" s="48"/>
      <c r="K351" s="48">
        <v>0</v>
      </c>
      <c r="L351" s="48"/>
      <c r="M351" s="48">
        <v>0</v>
      </c>
      <c r="N351" s="48"/>
      <c r="O351" s="48">
        <v>0</v>
      </c>
      <c r="P351" s="48"/>
      <c r="Q351" s="48">
        <v>19124.169999999998</v>
      </c>
      <c r="R351" s="48"/>
      <c r="S351" s="48">
        <v>0</v>
      </c>
      <c r="T351" s="48"/>
      <c r="U351" s="48">
        <v>0</v>
      </c>
      <c r="V351" s="48"/>
      <c r="W351" s="48">
        <v>0</v>
      </c>
      <c r="X351" s="48"/>
      <c r="Y351" s="48">
        <v>0</v>
      </c>
      <c r="Z351" s="48"/>
      <c r="AA351" s="48">
        <v>0</v>
      </c>
      <c r="AB351" s="48"/>
      <c r="AC351" s="48">
        <v>0</v>
      </c>
      <c r="AD351" s="48"/>
      <c r="AE351" s="48">
        <f t="shared" ref="AE351:AE388" si="22">SUM(E351:AC351)</f>
        <v>19124.169999999998</v>
      </c>
      <c r="AF351" s="1"/>
      <c r="AG351" s="55">
        <v>8974.08</v>
      </c>
      <c r="AH351" s="55"/>
      <c r="AI351" s="55">
        <v>31320.62</v>
      </c>
      <c r="AJ351" s="55"/>
      <c r="AK351" s="55">
        <v>40294.699999999997</v>
      </c>
      <c r="AL351" s="8">
        <f>+'Gen Rev'!AI352-'Gen Exp'!AE351+'Gen Exp'!AI351-AK351</f>
        <v>0</v>
      </c>
      <c r="AM351" s="21" t="str">
        <f>'Gen Rev'!A352</f>
        <v>Marengo</v>
      </c>
      <c r="AN351" s="67" t="str">
        <f t="shared" si="20"/>
        <v>Marengo</v>
      </c>
      <c r="AO351" s="67" t="b">
        <f t="shared" si="21"/>
        <v>1</v>
      </c>
    </row>
    <row r="352" spans="1:41" ht="12" customHeight="1" x14ac:dyDescent="0.2">
      <c r="A352" s="1" t="s">
        <v>835</v>
      </c>
      <c r="C352" s="1" t="s">
        <v>566</v>
      </c>
      <c r="E352" s="48">
        <v>1781</v>
      </c>
      <c r="F352" s="48"/>
      <c r="G352" s="48">
        <v>265</v>
      </c>
      <c r="H352" s="48"/>
      <c r="I352" s="48">
        <v>0</v>
      </c>
      <c r="J352" s="48"/>
      <c r="K352" s="48">
        <v>0</v>
      </c>
      <c r="L352" s="48"/>
      <c r="M352" s="48">
        <v>944</v>
      </c>
      <c r="N352" s="48"/>
      <c r="O352" s="48">
        <v>0</v>
      </c>
      <c r="P352" s="48"/>
      <c r="Q352" s="48">
        <f>396+375+520+150+1131+230</f>
        <v>2802</v>
      </c>
      <c r="R352" s="48"/>
      <c r="S352" s="48">
        <v>0</v>
      </c>
      <c r="T352" s="48"/>
      <c r="U352" s="48">
        <v>0</v>
      </c>
      <c r="V352" s="48"/>
      <c r="W352" s="48">
        <v>0</v>
      </c>
      <c r="X352" s="48"/>
      <c r="Y352" s="48">
        <v>0</v>
      </c>
      <c r="Z352" s="48"/>
      <c r="AA352" s="48">
        <v>0</v>
      </c>
      <c r="AB352" s="48"/>
      <c r="AC352" s="48">
        <v>0</v>
      </c>
      <c r="AD352" s="48"/>
      <c r="AE352" s="48">
        <f t="shared" si="22"/>
        <v>5792</v>
      </c>
      <c r="AF352" s="48"/>
      <c r="AG352" s="59"/>
      <c r="AH352" s="59"/>
      <c r="AI352" s="59"/>
      <c r="AJ352" s="59"/>
      <c r="AK352" s="59"/>
      <c r="AL352" s="8">
        <f>+'Gen Rev'!AI353-'Gen Exp'!AE352+'Gen Exp'!AI352-AK352</f>
        <v>-843</v>
      </c>
      <c r="AM352" s="21" t="str">
        <f>'Gen Rev'!A353</f>
        <v>Marseilles</v>
      </c>
      <c r="AN352" s="67" t="str">
        <f t="shared" si="20"/>
        <v>Marseilles</v>
      </c>
      <c r="AO352" s="67" t="b">
        <f t="shared" si="21"/>
        <v>1</v>
      </c>
    </row>
    <row r="353" spans="1:41" s="67" customFormat="1" ht="12" customHeight="1" x14ac:dyDescent="0.2">
      <c r="A353" s="1" t="s">
        <v>632</v>
      </c>
      <c r="B353" s="1"/>
      <c r="C353" s="1" t="s">
        <v>547</v>
      </c>
      <c r="D353" s="1"/>
      <c r="E353" s="48">
        <v>62536</v>
      </c>
      <c r="F353" s="48"/>
      <c r="G353" s="48">
        <v>1200</v>
      </c>
      <c r="H353" s="48"/>
      <c r="I353" s="48">
        <v>8382</v>
      </c>
      <c r="J353" s="48"/>
      <c r="K353" s="48">
        <v>0</v>
      </c>
      <c r="L353" s="48"/>
      <c r="M353" s="48">
        <v>0</v>
      </c>
      <c r="N353" s="48"/>
      <c r="O353" s="48">
        <v>290</v>
      </c>
      <c r="P353" s="48"/>
      <c r="Q353" s="48">
        <v>59482</v>
      </c>
      <c r="R353" s="48"/>
      <c r="S353" s="48">
        <v>800</v>
      </c>
      <c r="T353" s="48"/>
      <c r="U353" s="48">
        <v>0</v>
      </c>
      <c r="V353" s="48"/>
      <c r="W353" s="48">
        <v>0</v>
      </c>
      <c r="X353" s="48"/>
      <c r="Y353" s="48">
        <v>52772</v>
      </c>
      <c r="Z353" s="48"/>
      <c r="AA353" s="48">
        <v>0</v>
      </c>
      <c r="AB353" s="48"/>
      <c r="AC353" s="48">
        <v>1375</v>
      </c>
      <c r="AD353" s="48"/>
      <c r="AE353" s="48">
        <f t="shared" si="22"/>
        <v>186837</v>
      </c>
      <c r="AF353" s="48"/>
      <c r="AG353" s="59"/>
      <c r="AH353" s="59"/>
      <c r="AI353" s="59"/>
      <c r="AJ353" s="59"/>
      <c r="AK353" s="59"/>
      <c r="AL353" s="8">
        <f>+'Gen Rev'!AI354-'Gen Exp'!AE353+'Gen Exp'!AI353-AK353</f>
        <v>-3014</v>
      </c>
      <c r="AM353" s="21" t="str">
        <f>'Gen Rev'!A354</f>
        <v>Marshallville</v>
      </c>
      <c r="AN353" s="67" t="str">
        <f t="shared" si="20"/>
        <v>Marshallville</v>
      </c>
      <c r="AO353" s="67" t="b">
        <f t="shared" si="21"/>
        <v>1</v>
      </c>
    </row>
    <row r="354" spans="1:41" s="6" customFormat="1" ht="12" customHeight="1" x14ac:dyDescent="0.2">
      <c r="A354" s="1" t="s">
        <v>115</v>
      </c>
      <c r="B354" s="1"/>
      <c r="C354" s="1" t="s">
        <v>396</v>
      </c>
      <c r="D354" s="1"/>
      <c r="E354" s="48">
        <v>890</v>
      </c>
      <c r="F354" s="48"/>
      <c r="G354" s="48">
        <v>3259.2</v>
      </c>
      <c r="H354" s="48"/>
      <c r="I354" s="48">
        <v>2050.89</v>
      </c>
      <c r="J354" s="48"/>
      <c r="K354" s="48">
        <v>0</v>
      </c>
      <c r="L354" s="48"/>
      <c r="M354" s="48">
        <v>375</v>
      </c>
      <c r="N354" s="48"/>
      <c r="O354" s="48">
        <v>0</v>
      </c>
      <c r="P354" s="48"/>
      <c r="Q354" s="48">
        <v>21753.53</v>
      </c>
      <c r="R354" s="48"/>
      <c r="S354" s="48">
        <v>0</v>
      </c>
      <c r="T354" s="48"/>
      <c r="U354" s="48">
        <v>0</v>
      </c>
      <c r="V354" s="48"/>
      <c r="W354" s="48">
        <v>0</v>
      </c>
      <c r="X354" s="48"/>
      <c r="Y354" s="48">
        <v>0</v>
      </c>
      <c r="Z354" s="48"/>
      <c r="AA354" s="48">
        <v>0</v>
      </c>
      <c r="AB354" s="48"/>
      <c r="AC354" s="48">
        <v>0</v>
      </c>
      <c r="AD354" s="48"/>
      <c r="AE354" s="48">
        <f t="shared" si="22"/>
        <v>28328.62</v>
      </c>
      <c r="AF354" s="1"/>
      <c r="AG354" s="55">
        <v>-2661.08</v>
      </c>
      <c r="AH354" s="55"/>
      <c r="AI354" s="55">
        <v>5567.74</v>
      </c>
      <c r="AJ354" s="55"/>
      <c r="AK354" s="55">
        <v>2906.66</v>
      </c>
      <c r="AL354" s="8">
        <f>+'Gen Rev'!AI355-'Gen Exp'!AE354+'Gen Exp'!AI354-AK354</f>
        <v>0</v>
      </c>
      <c r="AM354" s="21" t="str">
        <f>'Gen Rev'!A355</f>
        <v>Martinsburg</v>
      </c>
      <c r="AN354" s="67" t="str">
        <f t="shared" si="20"/>
        <v>Martinsburg</v>
      </c>
      <c r="AO354" s="67" t="b">
        <f t="shared" si="21"/>
        <v>1</v>
      </c>
    </row>
    <row r="355" spans="1:41" ht="12" customHeight="1" x14ac:dyDescent="0.2">
      <c r="A355" s="1" t="s">
        <v>230</v>
      </c>
      <c r="C355" s="1" t="s">
        <v>545</v>
      </c>
      <c r="E355" s="48">
        <v>58793.97</v>
      </c>
      <c r="F355" s="48"/>
      <c r="G355" s="48">
        <v>2020.68</v>
      </c>
      <c r="H355" s="48"/>
      <c r="I355" s="48">
        <v>2227.8000000000002</v>
      </c>
      <c r="J355" s="48"/>
      <c r="K355" s="48">
        <v>0</v>
      </c>
      <c r="L355" s="48"/>
      <c r="M355" s="48">
        <v>11270.62</v>
      </c>
      <c r="N355" s="48"/>
      <c r="O355" s="48">
        <v>0</v>
      </c>
      <c r="P355" s="48"/>
      <c r="Q355" s="48">
        <v>37310.720000000001</v>
      </c>
      <c r="R355" s="48"/>
      <c r="S355" s="48">
        <v>1125.99</v>
      </c>
      <c r="T355" s="48"/>
      <c r="U355" s="48">
        <v>0</v>
      </c>
      <c r="V355" s="48"/>
      <c r="W355" s="48">
        <v>0</v>
      </c>
      <c r="X355" s="48"/>
      <c r="Y355" s="48">
        <v>0</v>
      </c>
      <c r="Z355" s="48"/>
      <c r="AA355" s="48">
        <v>0</v>
      </c>
      <c r="AB355" s="48"/>
      <c r="AC355" s="48">
        <v>0</v>
      </c>
      <c r="AD355" s="48"/>
      <c r="AE355" s="48">
        <f t="shared" si="22"/>
        <v>112749.78000000001</v>
      </c>
      <c r="AG355" s="55">
        <v>6500.92</v>
      </c>
      <c r="AI355" s="55">
        <v>4626.29</v>
      </c>
      <c r="AK355" s="55">
        <v>11127.21</v>
      </c>
      <c r="AL355" s="8">
        <f>+'Gen Rev'!AI356-'Gen Exp'!AE355+'Gen Exp'!AI355-AK355</f>
        <v>-1.4551915228366852E-11</v>
      </c>
      <c r="AM355" s="21" t="str">
        <f>'Gen Rev'!A356</f>
        <v>Matamoras</v>
      </c>
      <c r="AN355" s="67" t="str">
        <f t="shared" si="20"/>
        <v>Matamoras</v>
      </c>
      <c r="AO355" s="67" t="b">
        <f t="shared" si="21"/>
        <v>1</v>
      </c>
    </row>
    <row r="356" spans="1:41" s="6" customFormat="1" ht="12" customHeight="1" x14ac:dyDescent="0.2">
      <c r="A356" s="1" t="s">
        <v>299</v>
      </c>
      <c r="B356" s="1"/>
      <c r="C356" s="1" t="s">
        <v>293</v>
      </c>
      <c r="E356" s="48">
        <v>5362461</v>
      </c>
      <c r="F356" s="48"/>
      <c r="G356" s="48">
        <v>13918</v>
      </c>
      <c r="H356" s="48"/>
      <c r="I356" s="48">
        <v>957391</v>
      </c>
      <c r="J356" s="48"/>
      <c r="K356" s="48">
        <v>350303</v>
      </c>
      <c r="L356" s="48"/>
      <c r="M356" s="48">
        <v>197638</v>
      </c>
      <c r="N356" s="48"/>
      <c r="O356" s="48">
        <v>2146774</v>
      </c>
      <c r="P356" s="48"/>
      <c r="Q356" s="48">
        <v>2719643</v>
      </c>
      <c r="R356" s="48"/>
      <c r="S356" s="48">
        <v>672054</v>
      </c>
      <c r="T356" s="48"/>
      <c r="U356" s="48">
        <v>0</v>
      </c>
      <c r="V356" s="48"/>
      <c r="W356" s="48">
        <v>0</v>
      </c>
      <c r="X356" s="48"/>
      <c r="Y356" s="48">
        <v>2841444</v>
      </c>
      <c r="Z356" s="48"/>
      <c r="AA356" s="48">
        <v>1067418</v>
      </c>
      <c r="AB356" s="48"/>
      <c r="AC356" s="48">
        <v>0</v>
      </c>
      <c r="AD356" s="48"/>
      <c r="AE356" s="48">
        <f t="shared" si="22"/>
        <v>16329044</v>
      </c>
      <c r="AF356" s="48"/>
      <c r="AG356" s="59"/>
      <c r="AH356" s="59"/>
      <c r="AI356" s="59"/>
      <c r="AJ356" s="59"/>
      <c r="AK356" s="59"/>
      <c r="AL356" s="8">
        <f>+'Gen Rev'!AI357-'Gen Exp'!AE356+'Gen Exp'!AI356-AK356</f>
        <v>2064897</v>
      </c>
      <c r="AM356" s="21" t="str">
        <f>'Gen Rev'!A357</f>
        <v>Mayfield</v>
      </c>
      <c r="AN356" s="67" t="str">
        <f t="shared" si="20"/>
        <v>Mayfield</v>
      </c>
      <c r="AO356" s="67" t="b">
        <f t="shared" si="21"/>
        <v>1</v>
      </c>
    </row>
    <row r="357" spans="1:41" ht="12" customHeight="1" x14ac:dyDescent="0.2">
      <c r="A357" s="1" t="s">
        <v>857</v>
      </c>
      <c r="C357" s="1" t="s">
        <v>77</v>
      </c>
      <c r="E357" s="48">
        <v>8849</v>
      </c>
      <c r="F357" s="48"/>
      <c r="G357" s="48">
        <v>525.61</v>
      </c>
      <c r="H357" s="48"/>
      <c r="I357" s="48">
        <v>0</v>
      </c>
      <c r="J357" s="48"/>
      <c r="K357" s="48">
        <v>0</v>
      </c>
      <c r="L357" s="48"/>
      <c r="M357" s="48">
        <v>0</v>
      </c>
      <c r="N357" s="48"/>
      <c r="O357" s="48">
        <v>0</v>
      </c>
      <c r="P357" s="48"/>
      <c r="Q357" s="48">
        <v>115686.03</v>
      </c>
      <c r="R357" s="48"/>
      <c r="S357" s="48">
        <v>0</v>
      </c>
      <c r="T357" s="48"/>
      <c r="U357" s="48">
        <v>0</v>
      </c>
      <c r="V357" s="48"/>
      <c r="W357" s="48">
        <v>0</v>
      </c>
      <c r="X357" s="48"/>
      <c r="Y357" s="48">
        <v>11540.65</v>
      </c>
      <c r="Z357" s="48"/>
      <c r="AA357" s="48">
        <v>5000</v>
      </c>
      <c r="AB357" s="48"/>
      <c r="AC357" s="48">
        <v>214.24</v>
      </c>
      <c r="AD357" s="48"/>
      <c r="AE357" s="48">
        <f t="shared" si="22"/>
        <v>141815.53</v>
      </c>
      <c r="AG357" s="55">
        <v>86398.69</v>
      </c>
      <c r="AI357" s="55">
        <v>99176.01</v>
      </c>
      <c r="AK357" s="55">
        <v>185574.7</v>
      </c>
      <c r="AL357" s="8">
        <f>+'Gen Rev'!AI358-'Gen Exp'!AE357+'Gen Exp'!AI357-AK357</f>
        <v>0</v>
      </c>
      <c r="AM357" s="21" t="str">
        <f>'Gen Rev'!A358</f>
        <v>Mcarthur</v>
      </c>
      <c r="AN357" s="67" t="str">
        <f t="shared" si="20"/>
        <v>Mcarthur</v>
      </c>
      <c r="AO357" s="67" t="b">
        <f t="shared" si="21"/>
        <v>1</v>
      </c>
    </row>
    <row r="358" spans="1:41" ht="12" customHeight="1" x14ac:dyDescent="0.2">
      <c r="A358" s="1" t="s">
        <v>103</v>
      </c>
      <c r="C358" s="1" t="s">
        <v>377</v>
      </c>
      <c r="E358" s="48">
        <v>11513.88</v>
      </c>
      <c r="F358" s="48"/>
      <c r="G358" s="48">
        <v>0</v>
      </c>
      <c r="H358" s="48"/>
      <c r="I358" s="48">
        <v>683</v>
      </c>
      <c r="J358" s="48"/>
      <c r="K358" s="48">
        <v>0</v>
      </c>
      <c r="L358" s="48"/>
      <c r="M358" s="48">
        <v>0</v>
      </c>
      <c r="N358" s="48"/>
      <c r="O358" s="48">
        <v>0</v>
      </c>
      <c r="P358" s="48"/>
      <c r="Q358" s="48">
        <v>63593.36</v>
      </c>
      <c r="R358" s="48"/>
      <c r="S358" s="48">
        <v>0</v>
      </c>
      <c r="T358" s="48"/>
      <c r="U358" s="48">
        <v>5039.91</v>
      </c>
      <c r="V358" s="48"/>
      <c r="W358" s="48">
        <v>3505.29</v>
      </c>
      <c r="X358" s="48"/>
      <c r="Y358" s="48">
        <v>0</v>
      </c>
      <c r="Z358" s="48"/>
      <c r="AA358" s="48">
        <v>0</v>
      </c>
      <c r="AB358" s="48"/>
      <c r="AC358" s="48">
        <v>0</v>
      </c>
      <c r="AD358" s="48"/>
      <c r="AE358" s="48">
        <f t="shared" si="22"/>
        <v>84335.44</v>
      </c>
      <c r="AG358" s="55">
        <v>57606.54</v>
      </c>
      <c r="AI358" s="55">
        <v>53330.87</v>
      </c>
      <c r="AK358" s="55">
        <v>110937.41</v>
      </c>
      <c r="AL358" s="8">
        <f>+'Gen Rev'!AI359-'Gen Exp'!AE358+'Gen Exp'!AI358-AK358</f>
        <v>0</v>
      </c>
      <c r="AM358" s="21" t="str">
        <f>'Gen Rev'!A359</f>
        <v>Mcclure</v>
      </c>
      <c r="AN358" s="67" t="str">
        <f t="shared" si="20"/>
        <v>Mcclure</v>
      </c>
      <c r="AO358" s="67" t="b">
        <f t="shared" si="21"/>
        <v>1</v>
      </c>
    </row>
    <row r="359" spans="1:41" ht="12" customHeight="1" x14ac:dyDescent="0.2">
      <c r="A359" s="1" t="s">
        <v>361</v>
      </c>
      <c r="C359" s="1" t="s">
        <v>360</v>
      </c>
      <c r="E359" s="48">
        <v>283623</v>
      </c>
      <c r="F359" s="48"/>
      <c r="G359" s="48">
        <v>0</v>
      </c>
      <c r="H359" s="48"/>
      <c r="I359" s="48">
        <v>136096</v>
      </c>
      <c r="J359" s="48"/>
      <c r="K359" s="48">
        <v>5671</v>
      </c>
      <c r="L359" s="48"/>
      <c r="M359" s="48">
        <v>23871</v>
      </c>
      <c r="N359" s="48"/>
      <c r="O359" s="48">
        <v>0</v>
      </c>
      <c r="P359" s="48"/>
      <c r="Q359" s="48">
        <v>719974</v>
      </c>
      <c r="R359" s="48"/>
      <c r="S359" s="48">
        <v>59153</v>
      </c>
      <c r="T359" s="48"/>
      <c r="U359" s="48">
        <v>31631</v>
      </c>
      <c r="V359" s="48"/>
      <c r="W359" s="48">
        <v>12489</v>
      </c>
      <c r="X359" s="48"/>
      <c r="Y359" s="48">
        <v>0</v>
      </c>
      <c r="Z359" s="48"/>
      <c r="AA359" s="48">
        <v>0</v>
      </c>
      <c r="AB359" s="48"/>
      <c r="AC359" s="48">
        <v>0</v>
      </c>
      <c r="AD359" s="48"/>
      <c r="AE359" s="48">
        <f t="shared" si="22"/>
        <v>1272508</v>
      </c>
      <c r="AF359" s="48"/>
      <c r="AG359" s="59"/>
      <c r="AH359" s="59"/>
      <c r="AI359" s="59"/>
      <c r="AJ359" s="59"/>
      <c r="AK359" s="59"/>
      <c r="AL359" s="8">
        <f>+'Gen Rev'!AI360-'Gen Exp'!AE359+'Gen Exp'!AI359-AK359</f>
        <v>-355490</v>
      </c>
      <c r="AM359" s="21" t="str">
        <f>'Gen Rev'!A360</f>
        <v>McComb</v>
      </c>
      <c r="AN359" s="67" t="str">
        <f t="shared" si="20"/>
        <v>McComb</v>
      </c>
      <c r="AO359" s="67" t="b">
        <f t="shared" si="21"/>
        <v>1</v>
      </c>
    </row>
    <row r="360" spans="1:41" ht="12" customHeight="1" x14ac:dyDescent="0.2">
      <c r="A360" s="1" t="s">
        <v>154</v>
      </c>
      <c r="C360" s="1" t="s">
        <v>765</v>
      </c>
      <c r="E360" s="48">
        <v>273207.26</v>
      </c>
      <c r="F360" s="48"/>
      <c r="G360" s="48">
        <v>10064.41</v>
      </c>
      <c r="H360" s="48"/>
      <c r="I360" s="48">
        <v>51560.19</v>
      </c>
      <c r="J360" s="48"/>
      <c r="K360" s="48">
        <v>0</v>
      </c>
      <c r="L360" s="48"/>
      <c r="M360" s="48">
        <v>0</v>
      </c>
      <c r="N360" s="48"/>
      <c r="O360" s="48">
        <v>13454.8</v>
      </c>
      <c r="P360" s="48"/>
      <c r="Q360" s="48">
        <v>195789.4</v>
      </c>
      <c r="R360" s="48"/>
      <c r="S360" s="48">
        <v>0</v>
      </c>
      <c r="T360" s="48"/>
      <c r="U360" s="48">
        <v>3956.03</v>
      </c>
      <c r="V360" s="48"/>
      <c r="W360" s="48">
        <v>347.41</v>
      </c>
      <c r="X360" s="48"/>
      <c r="Y360" s="48">
        <v>0</v>
      </c>
      <c r="Z360" s="48"/>
      <c r="AA360" s="48">
        <v>0</v>
      </c>
      <c r="AB360" s="48"/>
      <c r="AC360" s="48">
        <v>0</v>
      </c>
      <c r="AD360" s="48"/>
      <c r="AE360" s="48">
        <f t="shared" si="22"/>
        <v>548379.5</v>
      </c>
      <c r="AG360" s="55">
        <v>221514.25</v>
      </c>
      <c r="AI360" s="55">
        <v>266654.38</v>
      </c>
      <c r="AK360" s="55">
        <v>488168.63</v>
      </c>
      <c r="AL360" s="8">
        <f>+'Gen Rev'!AI361-'Gen Exp'!AE360+'Gen Exp'!AI360-AK360</f>
        <v>0</v>
      </c>
      <c r="AM360" s="21" t="str">
        <f>'Gen Rev'!A361</f>
        <v>Mcconnelsville</v>
      </c>
      <c r="AN360" s="67" t="str">
        <f t="shared" si="20"/>
        <v>Mcconnelsville</v>
      </c>
      <c r="AO360" s="67" t="b">
        <f t="shared" si="21"/>
        <v>1</v>
      </c>
    </row>
    <row r="361" spans="1:41" ht="12" customHeight="1" x14ac:dyDescent="0.2">
      <c r="A361" s="1" t="s">
        <v>519</v>
      </c>
      <c r="C361" s="1" t="s">
        <v>518</v>
      </c>
      <c r="E361" s="48">
        <v>472515</v>
      </c>
      <c r="F361" s="48"/>
      <c r="G361" s="48">
        <v>4824</v>
      </c>
      <c r="H361" s="48"/>
      <c r="I361" s="48">
        <v>24740</v>
      </c>
      <c r="J361" s="48"/>
      <c r="K361" s="48">
        <v>6825</v>
      </c>
      <c r="L361" s="48"/>
      <c r="M361" s="48">
        <v>135000</v>
      </c>
      <c r="N361" s="48"/>
      <c r="O361" s="48">
        <v>2000</v>
      </c>
      <c r="P361" s="48"/>
      <c r="Q361" s="48">
        <v>397574</v>
      </c>
      <c r="R361" s="48"/>
      <c r="S361" s="48">
        <v>0</v>
      </c>
      <c r="T361" s="48"/>
      <c r="U361" s="48">
        <v>0</v>
      </c>
      <c r="V361" s="48"/>
      <c r="W361" s="48">
        <v>0</v>
      </c>
      <c r="X361" s="48"/>
      <c r="Y361" s="48">
        <v>0</v>
      </c>
      <c r="Z361" s="48"/>
      <c r="AA361" s="48">
        <v>0</v>
      </c>
      <c r="AB361" s="48"/>
      <c r="AC361" s="48">
        <v>0</v>
      </c>
      <c r="AD361" s="48"/>
      <c r="AE361" s="48">
        <f t="shared" si="22"/>
        <v>1043478</v>
      </c>
      <c r="AF361" s="48"/>
      <c r="AG361" s="59"/>
      <c r="AH361" s="59"/>
      <c r="AI361" s="59"/>
      <c r="AJ361" s="59"/>
      <c r="AK361" s="59"/>
      <c r="AL361" s="8">
        <f>+'Gen Rev'!AI362-'Gen Exp'!AE361+'Gen Exp'!AI361-AK361</f>
        <v>15132</v>
      </c>
      <c r="AM361" s="21" t="str">
        <f>'Gen Rev'!A362</f>
        <v>McDonald</v>
      </c>
      <c r="AN361" s="67" t="str">
        <f t="shared" si="20"/>
        <v>McDonald</v>
      </c>
      <c r="AO361" s="67" t="b">
        <f t="shared" si="21"/>
        <v>1</v>
      </c>
    </row>
    <row r="362" spans="1:41" s="67" customFormat="1" ht="12" customHeight="1" x14ac:dyDescent="0.2">
      <c r="A362" s="1" t="s">
        <v>369</v>
      </c>
      <c r="B362" s="1"/>
      <c r="C362" s="1" t="s">
        <v>366</v>
      </c>
      <c r="D362" s="1"/>
      <c r="E362" s="48">
        <v>47189</v>
      </c>
      <c r="F362" s="48"/>
      <c r="G362" s="48">
        <v>1262</v>
      </c>
      <c r="H362" s="48"/>
      <c r="I362" s="48">
        <v>531</v>
      </c>
      <c r="J362" s="48"/>
      <c r="K362" s="48">
        <v>0</v>
      </c>
      <c r="L362" s="48"/>
      <c r="M362" s="48">
        <v>2024</v>
      </c>
      <c r="N362" s="48"/>
      <c r="O362" s="48">
        <v>2240</v>
      </c>
      <c r="P362" s="48"/>
      <c r="Q362" s="48">
        <v>27548</v>
      </c>
      <c r="R362" s="48"/>
      <c r="S362" s="48">
        <v>2343</v>
      </c>
      <c r="T362" s="48"/>
      <c r="U362" s="48">
        <v>0</v>
      </c>
      <c r="V362" s="48"/>
      <c r="W362" s="48">
        <v>0</v>
      </c>
      <c r="X362" s="48"/>
      <c r="Y362" s="48">
        <v>0</v>
      </c>
      <c r="Z362" s="48"/>
      <c r="AA362" s="48">
        <v>0</v>
      </c>
      <c r="AB362" s="48"/>
      <c r="AC362" s="48">
        <v>0</v>
      </c>
      <c r="AD362" s="48"/>
      <c r="AE362" s="48">
        <f t="shared" si="22"/>
        <v>83137</v>
      </c>
      <c r="AF362" s="48"/>
      <c r="AG362" s="59"/>
      <c r="AH362" s="59"/>
      <c r="AI362" s="59"/>
      <c r="AJ362" s="59"/>
      <c r="AK362" s="59"/>
      <c r="AL362" s="8">
        <f>+'Gen Rev'!AI363-'Gen Exp'!AE362+'Gen Exp'!AI362-AK362</f>
        <v>5822</v>
      </c>
      <c r="AM362" s="21" t="str">
        <f>'Gen Rev'!A363</f>
        <v>Mcguffey</v>
      </c>
      <c r="AN362" s="67" t="str">
        <f t="shared" si="20"/>
        <v>Mcguffey</v>
      </c>
      <c r="AO362" s="67" t="b">
        <f t="shared" si="21"/>
        <v>1</v>
      </c>
    </row>
    <row r="363" spans="1:41" ht="12" customHeight="1" x14ac:dyDescent="0.2">
      <c r="A363" s="1" t="s">
        <v>268</v>
      </c>
      <c r="C363" s="1" t="s">
        <v>269</v>
      </c>
      <c r="E363" s="48">
        <v>267128.37</v>
      </c>
      <c r="F363" s="48"/>
      <c r="G363" s="48">
        <v>0</v>
      </c>
      <c r="H363" s="48"/>
      <c r="I363" s="48">
        <v>0</v>
      </c>
      <c r="J363" s="48"/>
      <c r="K363" s="48">
        <v>0</v>
      </c>
      <c r="L363" s="48"/>
      <c r="M363" s="48">
        <v>0</v>
      </c>
      <c r="N363" s="48"/>
      <c r="O363" s="48">
        <v>0</v>
      </c>
      <c r="P363" s="48"/>
      <c r="Q363" s="48">
        <v>178363.24</v>
      </c>
      <c r="R363" s="48"/>
      <c r="S363" s="48">
        <v>0</v>
      </c>
      <c r="T363" s="48"/>
      <c r="U363" s="48">
        <v>0</v>
      </c>
      <c r="V363" s="48"/>
      <c r="W363" s="48">
        <v>0</v>
      </c>
      <c r="X363" s="48"/>
      <c r="Y363" s="48">
        <v>100137.94</v>
      </c>
      <c r="Z363" s="48"/>
      <c r="AA363" s="48">
        <v>0</v>
      </c>
      <c r="AB363" s="48"/>
      <c r="AC363" s="48">
        <v>0</v>
      </c>
      <c r="AD363" s="48"/>
      <c r="AE363" s="48">
        <f t="shared" si="22"/>
        <v>545629.55000000005</v>
      </c>
      <c r="AG363" s="55">
        <v>103903.32</v>
      </c>
      <c r="AI363" s="55">
        <v>196578</v>
      </c>
      <c r="AK363" s="55">
        <v>300481.32</v>
      </c>
      <c r="AL363" s="8">
        <f>+'Gen Rev'!AI364-'Gen Exp'!AE363+'Gen Exp'!AI363-AK363</f>
        <v>0</v>
      </c>
      <c r="AM363" s="21" t="str">
        <f>'Gen Rev'!A364</f>
        <v>Mechanicsburg</v>
      </c>
      <c r="AN363" s="67" t="str">
        <f t="shared" si="20"/>
        <v>Mechanicsburg</v>
      </c>
      <c r="AO363" s="67" t="b">
        <f t="shared" si="21"/>
        <v>1</v>
      </c>
    </row>
    <row r="364" spans="1:41" s="67" customFormat="1" ht="12" customHeight="1" x14ac:dyDescent="0.2">
      <c r="A364" s="1" t="s">
        <v>171</v>
      </c>
      <c r="B364" s="1"/>
      <c r="C364" s="1" t="s">
        <v>460</v>
      </c>
      <c r="D364" s="1"/>
      <c r="E364" s="48">
        <v>5079.04</v>
      </c>
      <c r="F364" s="48"/>
      <c r="G364" s="48">
        <v>0</v>
      </c>
      <c r="H364" s="48"/>
      <c r="I364" s="48">
        <v>0</v>
      </c>
      <c r="J364" s="48"/>
      <c r="K364" s="48">
        <v>0</v>
      </c>
      <c r="L364" s="48"/>
      <c r="M364" s="48">
        <v>0</v>
      </c>
      <c r="N364" s="48"/>
      <c r="O364" s="48">
        <v>0</v>
      </c>
      <c r="P364" s="48"/>
      <c r="Q364" s="48">
        <v>20195.939999999999</v>
      </c>
      <c r="R364" s="48"/>
      <c r="S364" s="48">
        <v>0</v>
      </c>
      <c r="T364" s="48"/>
      <c r="U364" s="48">
        <v>0</v>
      </c>
      <c r="V364" s="48"/>
      <c r="W364" s="48">
        <v>0</v>
      </c>
      <c r="X364" s="48"/>
      <c r="Y364" s="48">
        <v>0</v>
      </c>
      <c r="Z364" s="48"/>
      <c r="AA364" s="48">
        <v>0</v>
      </c>
      <c r="AB364" s="48"/>
      <c r="AC364" s="48">
        <v>0</v>
      </c>
      <c r="AD364" s="48"/>
      <c r="AE364" s="48">
        <f t="shared" si="22"/>
        <v>25274.98</v>
      </c>
      <c r="AF364" s="1"/>
      <c r="AG364" s="55">
        <v>13327.11</v>
      </c>
      <c r="AH364" s="55"/>
      <c r="AI364" s="55">
        <v>31742.639999999999</v>
      </c>
      <c r="AJ364" s="55"/>
      <c r="AK364" s="55">
        <v>45069.75</v>
      </c>
      <c r="AL364" s="8">
        <f>+'Gen Rev'!AI365-'Gen Exp'!AE364+'Gen Exp'!AI364-AK364</f>
        <v>0</v>
      </c>
      <c r="AM364" s="21" t="str">
        <f>'Gen Rev'!A365</f>
        <v>Melrose</v>
      </c>
      <c r="AN364" s="67" t="str">
        <f t="shared" si="20"/>
        <v>Melrose</v>
      </c>
      <c r="AO364" s="67" t="b">
        <f t="shared" si="21"/>
        <v>1</v>
      </c>
    </row>
    <row r="365" spans="1:41" ht="12" customHeight="1" x14ac:dyDescent="0.2">
      <c r="A365" s="1" t="s">
        <v>717</v>
      </c>
      <c r="C365" s="1" t="s">
        <v>433</v>
      </c>
      <c r="E365" s="48">
        <v>1650</v>
      </c>
      <c r="F365" s="48"/>
      <c r="G365" s="48">
        <v>0</v>
      </c>
      <c r="H365" s="48"/>
      <c r="I365" s="48">
        <v>0</v>
      </c>
      <c r="J365" s="48"/>
      <c r="K365" s="48">
        <v>0</v>
      </c>
      <c r="L365" s="48"/>
      <c r="M365" s="48">
        <v>854.88</v>
      </c>
      <c r="N365" s="48"/>
      <c r="O365" s="48">
        <v>9886.7800000000007</v>
      </c>
      <c r="P365" s="48"/>
      <c r="Q365" s="48">
        <v>26554.81</v>
      </c>
      <c r="R365" s="48"/>
      <c r="S365" s="48">
        <v>1108</v>
      </c>
      <c r="T365" s="48"/>
      <c r="U365" s="48">
        <v>0</v>
      </c>
      <c r="V365" s="48"/>
      <c r="W365" s="48">
        <v>0</v>
      </c>
      <c r="X365" s="48"/>
      <c r="Y365" s="48">
        <v>0</v>
      </c>
      <c r="Z365" s="48"/>
      <c r="AA365" s="48">
        <v>0</v>
      </c>
      <c r="AB365" s="48"/>
      <c r="AC365" s="48">
        <v>0</v>
      </c>
      <c r="AD365" s="48"/>
      <c r="AE365" s="48">
        <f t="shared" si="22"/>
        <v>40054.47</v>
      </c>
      <c r="AG365" s="55">
        <v>-8552.23</v>
      </c>
      <c r="AI365" s="55">
        <v>12796.02</v>
      </c>
      <c r="AK365" s="55">
        <v>4243.79</v>
      </c>
      <c r="AL365" s="8">
        <f>+'Gen Rev'!AI366-'Gen Exp'!AE365+'Gen Exp'!AI365-AK365</f>
        <v>0</v>
      </c>
      <c r="AM365" s="21" t="str">
        <f>'Gen Rev'!A366</f>
        <v>Mendon</v>
      </c>
      <c r="AN365" s="67" t="str">
        <f t="shared" si="20"/>
        <v>Mendon</v>
      </c>
      <c r="AO365" s="67" t="b">
        <f t="shared" si="21"/>
        <v>1</v>
      </c>
    </row>
    <row r="366" spans="1:41" s="17" customFormat="1" ht="12" customHeight="1" x14ac:dyDescent="0.2">
      <c r="A366" s="1" t="s">
        <v>335</v>
      </c>
      <c r="B366" s="1"/>
      <c r="C366" s="1" t="s">
        <v>332</v>
      </c>
      <c r="D366" s="1"/>
      <c r="E366" s="48">
        <v>14768</v>
      </c>
      <c r="F366" s="48"/>
      <c r="G366" s="48">
        <v>0</v>
      </c>
      <c r="H366" s="48"/>
      <c r="I366" s="48">
        <v>16263</v>
      </c>
      <c r="J366" s="48"/>
      <c r="K366" s="48">
        <v>11744</v>
      </c>
      <c r="L366" s="48"/>
      <c r="M366" s="48">
        <v>0</v>
      </c>
      <c r="N366" s="48"/>
      <c r="O366" s="48">
        <v>0</v>
      </c>
      <c r="P366" s="48"/>
      <c r="Q366" s="48">
        <v>182362</v>
      </c>
      <c r="R366" s="48"/>
      <c r="S366" s="48">
        <v>20551</v>
      </c>
      <c r="T366" s="48"/>
      <c r="U366" s="48">
        <v>0</v>
      </c>
      <c r="V366" s="48"/>
      <c r="W366" s="48">
        <v>0</v>
      </c>
      <c r="X366" s="48"/>
      <c r="Y366" s="48">
        <v>85000</v>
      </c>
      <c r="Z366" s="48"/>
      <c r="AA366" s="48">
        <v>12000</v>
      </c>
      <c r="AB366" s="48"/>
      <c r="AC366" s="48">
        <v>0</v>
      </c>
      <c r="AD366" s="48"/>
      <c r="AE366" s="48">
        <f t="shared" si="22"/>
        <v>342688</v>
      </c>
      <c r="AF366" s="48"/>
      <c r="AG366" s="59"/>
      <c r="AH366" s="59"/>
      <c r="AI366" s="59"/>
      <c r="AJ366" s="59"/>
      <c r="AK366" s="59"/>
      <c r="AL366" s="8">
        <f>+'Gen Rev'!AI367-'Gen Exp'!AE366+'Gen Exp'!AI366-AK366</f>
        <v>1689</v>
      </c>
      <c r="AM366" s="21" t="str">
        <f>'Gen Rev'!A367</f>
        <v>Metamora</v>
      </c>
      <c r="AN366" s="67" t="str">
        <f t="shared" si="20"/>
        <v>Metamora</v>
      </c>
      <c r="AO366" s="67" t="b">
        <f t="shared" si="21"/>
        <v>1</v>
      </c>
    </row>
    <row r="367" spans="1:41" s="14" customFormat="1" ht="12" customHeight="1" x14ac:dyDescent="0.2">
      <c r="A367" s="1" t="s">
        <v>212</v>
      </c>
      <c r="B367" s="1"/>
      <c r="C367" s="1" t="s">
        <v>502</v>
      </c>
      <c r="D367" s="1"/>
      <c r="E367" s="48">
        <v>10602.6</v>
      </c>
      <c r="F367" s="48"/>
      <c r="G367" s="48">
        <v>4854.5</v>
      </c>
      <c r="H367" s="48"/>
      <c r="I367" s="48">
        <v>0</v>
      </c>
      <c r="J367" s="48"/>
      <c r="K367" s="48">
        <v>14943.25</v>
      </c>
      <c r="L367" s="48"/>
      <c r="M367" s="48">
        <v>18860.400000000001</v>
      </c>
      <c r="N367" s="48"/>
      <c r="O367" s="48">
        <v>0</v>
      </c>
      <c r="P367" s="48"/>
      <c r="Q367" s="48">
        <v>60434.57</v>
      </c>
      <c r="R367" s="48"/>
      <c r="S367" s="48">
        <v>0</v>
      </c>
      <c r="T367" s="48"/>
      <c r="U367" s="48">
        <v>0</v>
      </c>
      <c r="V367" s="48"/>
      <c r="W367" s="48">
        <v>0</v>
      </c>
      <c r="X367" s="48"/>
      <c r="Y367" s="48">
        <v>0</v>
      </c>
      <c r="Z367" s="48"/>
      <c r="AA367" s="48">
        <v>0</v>
      </c>
      <c r="AB367" s="48"/>
      <c r="AC367" s="48">
        <v>252.5</v>
      </c>
      <c r="AD367" s="48"/>
      <c r="AE367" s="48">
        <f t="shared" si="22"/>
        <v>109947.82</v>
      </c>
      <c r="AF367" s="1"/>
      <c r="AG367" s="55">
        <v>22612.66</v>
      </c>
      <c r="AH367" s="55"/>
      <c r="AI367" s="55">
        <v>279790.78000000003</v>
      </c>
      <c r="AJ367" s="55"/>
      <c r="AK367" s="55">
        <v>302403.44</v>
      </c>
      <c r="AL367" s="8">
        <f>+'Gen Rev'!AI368-'Gen Exp'!AE367+'Gen Exp'!AI367-AK367</f>
        <v>0</v>
      </c>
      <c r="AM367" s="21" t="str">
        <f>'Gen Rev'!A368</f>
        <v>Meyers Lake</v>
      </c>
      <c r="AN367" s="67" t="str">
        <f t="shared" si="20"/>
        <v>Meyers Lake</v>
      </c>
      <c r="AO367" s="67" t="b">
        <f t="shared" si="21"/>
        <v>1</v>
      </c>
    </row>
    <row r="368" spans="1:41" ht="12" customHeight="1" x14ac:dyDescent="0.2">
      <c r="A368" s="1" t="s">
        <v>805</v>
      </c>
      <c r="C368" s="1" t="s">
        <v>532</v>
      </c>
      <c r="E368" s="48">
        <v>9255.4599999999991</v>
      </c>
      <c r="F368" s="48"/>
      <c r="G368" s="48">
        <v>2936.02</v>
      </c>
      <c r="H368" s="48"/>
      <c r="I368" s="48">
        <v>0</v>
      </c>
      <c r="J368" s="48"/>
      <c r="K368" s="48">
        <v>6598.79</v>
      </c>
      <c r="L368" s="48"/>
      <c r="M368" s="48">
        <v>0</v>
      </c>
      <c r="N368" s="48"/>
      <c r="O368" s="48">
        <v>0</v>
      </c>
      <c r="P368" s="48"/>
      <c r="Q368" s="48">
        <v>74823.13</v>
      </c>
      <c r="R368" s="48"/>
      <c r="S368" s="48">
        <v>315</v>
      </c>
      <c r="T368" s="48"/>
      <c r="U368" s="48">
        <v>0</v>
      </c>
      <c r="V368" s="48"/>
      <c r="W368" s="48">
        <v>0</v>
      </c>
      <c r="X368" s="48"/>
      <c r="Y368" s="48">
        <v>0</v>
      </c>
      <c r="Z368" s="48"/>
      <c r="AA368" s="48">
        <v>0</v>
      </c>
      <c r="AB368" s="48"/>
      <c r="AC368" s="48">
        <v>0</v>
      </c>
      <c r="AD368" s="48"/>
      <c r="AE368" s="48">
        <f t="shared" si="22"/>
        <v>93928.400000000009</v>
      </c>
      <c r="AG368" s="55">
        <v>23337.42</v>
      </c>
      <c r="AI368" s="55">
        <v>122747.7</v>
      </c>
      <c r="AK368" s="55">
        <v>146085.12</v>
      </c>
      <c r="AL368" s="8">
        <f>+'Gen Rev'!AI369-'Gen Exp'!AE368+'Gen Exp'!AI368-AK368</f>
        <v>0</v>
      </c>
      <c r="AM368" s="21" t="str">
        <f>'Gen Rev'!A369</f>
        <v>Middle Point</v>
      </c>
      <c r="AN368" s="67" t="str">
        <f t="shared" si="20"/>
        <v>Middle Point</v>
      </c>
      <c r="AO368" s="67" t="b">
        <f t="shared" si="21"/>
        <v>1</v>
      </c>
    </row>
    <row r="369" spans="1:41" s="67" customFormat="1" ht="12" customHeight="1" x14ac:dyDescent="0.2">
      <c r="A369" s="1" t="s">
        <v>341</v>
      </c>
      <c r="B369" s="1"/>
      <c r="C369" s="1" t="s">
        <v>342</v>
      </c>
      <c r="D369" s="1"/>
      <c r="E369" s="48">
        <v>896958</v>
      </c>
      <c r="F369" s="48"/>
      <c r="G369" s="48">
        <v>0</v>
      </c>
      <c r="H369" s="48"/>
      <c r="I369" s="48">
        <v>104330</v>
      </c>
      <c r="J369" s="48"/>
      <c r="K369" s="48">
        <v>67965</v>
      </c>
      <c r="L369" s="48"/>
      <c r="M369" s="48">
        <v>8142</v>
      </c>
      <c r="N369" s="48"/>
      <c r="O369" s="48">
        <v>702434</v>
      </c>
      <c r="P369" s="48"/>
      <c r="Q369" s="48">
        <v>693743</v>
      </c>
      <c r="R369" s="48"/>
      <c r="S369" s="48">
        <v>0</v>
      </c>
      <c r="T369" s="48"/>
      <c r="U369" s="48">
        <v>964931</v>
      </c>
      <c r="V369" s="48"/>
      <c r="W369" s="48">
        <v>121219</v>
      </c>
      <c r="X369" s="48"/>
      <c r="Y369" s="48">
        <v>133250</v>
      </c>
      <c r="Z369" s="48"/>
      <c r="AA369" s="48">
        <v>0</v>
      </c>
      <c r="AB369" s="48"/>
      <c r="AC369" s="48">
        <v>0</v>
      </c>
      <c r="AD369" s="48"/>
      <c r="AE369" s="48">
        <f t="shared" si="22"/>
        <v>3692972</v>
      </c>
      <c r="AF369" s="48"/>
      <c r="AG369" s="59"/>
      <c r="AH369" s="59"/>
      <c r="AI369" s="59"/>
      <c r="AJ369" s="59"/>
      <c r="AK369" s="59"/>
      <c r="AL369" s="8">
        <f>+'Gen Rev'!AI370-'Gen Exp'!AE369+'Gen Exp'!AI369-AK369</f>
        <v>-554454</v>
      </c>
      <c r="AM369" s="21" t="str">
        <f>'Gen Rev'!A370</f>
        <v>Middlefield</v>
      </c>
      <c r="AN369" s="67" t="str">
        <f t="shared" si="20"/>
        <v>Middlefield</v>
      </c>
      <c r="AO369" s="67" t="b">
        <f t="shared" si="21"/>
        <v>1</v>
      </c>
    </row>
    <row r="370" spans="1:41" s="67" customFormat="1" ht="12" customHeight="1" x14ac:dyDescent="0.2">
      <c r="A370" s="1" t="s">
        <v>145</v>
      </c>
      <c r="B370" s="1"/>
      <c r="C370" s="1" t="s">
        <v>431</v>
      </c>
      <c r="D370" s="1"/>
      <c r="E370" s="48">
        <v>719455.61</v>
      </c>
      <c r="F370" s="48"/>
      <c r="G370" s="48">
        <v>0</v>
      </c>
      <c r="H370" s="48"/>
      <c r="I370" s="48">
        <v>0</v>
      </c>
      <c r="J370" s="48"/>
      <c r="K370" s="48">
        <v>0</v>
      </c>
      <c r="L370" s="48"/>
      <c r="M370" s="48">
        <v>0</v>
      </c>
      <c r="N370" s="48"/>
      <c r="O370" s="48">
        <v>0</v>
      </c>
      <c r="P370" s="48"/>
      <c r="Q370" s="48">
        <v>180950.92</v>
      </c>
      <c r="R370" s="48"/>
      <c r="S370" s="48">
        <v>0</v>
      </c>
      <c r="T370" s="48"/>
      <c r="U370" s="48">
        <v>23705.43</v>
      </c>
      <c r="V370" s="48"/>
      <c r="W370" s="48">
        <v>16327.24</v>
      </c>
      <c r="X370" s="48"/>
      <c r="Y370" s="48">
        <v>0</v>
      </c>
      <c r="Z370" s="48"/>
      <c r="AA370" s="48">
        <v>0</v>
      </c>
      <c r="AB370" s="48"/>
      <c r="AC370" s="48">
        <v>0</v>
      </c>
      <c r="AD370" s="48"/>
      <c r="AE370" s="48">
        <f t="shared" si="22"/>
        <v>940439.20000000007</v>
      </c>
      <c r="AF370" s="1"/>
      <c r="AG370" s="55">
        <v>48712.71</v>
      </c>
      <c r="AH370" s="55"/>
      <c r="AI370" s="55">
        <v>19407.66</v>
      </c>
      <c r="AJ370" s="55"/>
      <c r="AK370" s="55">
        <v>68120.37</v>
      </c>
      <c r="AL370" s="8">
        <f>+'Gen Rev'!AI371-'Gen Exp'!AE370+'Gen Exp'!AI370-AK370</f>
        <v>-1.4551915228366852E-10</v>
      </c>
      <c r="AM370" s="21" t="str">
        <f>'Gen Rev'!A371</f>
        <v>Middleport</v>
      </c>
      <c r="AN370" s="67" t="str">
        <f t="shared" si="20"/>
        <v>Middleport</v>
      </c>
      <c r="AO370" s="67" t="b">
        <f t="shared" si="21"/>
        <v>1</v>
      </c>
    </row>
    <row r="371" spans="1:41" s="67" customFormat="1" ht="12" customHeight="1" x14ac:dyDescent="0.2">
      <c r="A371" s="1" t="s">
        <v>772</v>
      </c>
      <c r="B371" s="1"/>
      <c r="C371" s="1" t="s">
        <v>280</v>
      </c>
      <c r="D371" s="1"/>
      <c r="E371" s="48">
        <v>2963.9</v>
      </c>
      <c r="F371" s="48"/>
      <c r="G371" s="48">
        <v>0</v>
      </c>
      <c r="H371" s="48"/>
      <c r="I371" s="48">
        <v>0</v>
      </c>
      <c r="J371" s="48"/>
      <c r="K371" s="48">
        <v>0</v>
      </c>
      <c r="L371" s="48"/>
      <c r="M371" s="48">
        <v>478.67</v>
      </c>
      <c r="N371" s="48"/>
      <c r="O371" s="48">
        <v>0</v>
      </c>
      <c r="P371" s="48"/>
      <c r="Q371" s="48">
        <v>20190.66</v>
      </c>
      <c r="R371" s="48"/>
      <c r="S371" s="48">
        <v>0</v>
      </c>
      <c r="T371" s="48"/>
      <c r="U371" s="48">
        <v>0</v>
      </c>
      <c r="V371" s="48"/>
      <c r="W371" s="48">
        <v>0</v>
      </c>
      <c r="X371" s="48"/>
      <c r="Y371" s="48">
        <v>0</v>
      </c>
      <c r="Z371" s="48"/>
      <c r="AA371" s="48">
        <v>0</v>
      </c>
      <c r="AB371" s="48"/>
      <c r="AC371" s="48">
        <v>0</v>
      </c>
      <c r="AD371" s="48"/>
      <c r="AE371" s="48">
        <f t="shared" si="22"/>
        <v>23633.23</v>
      </c>
      <c r="AF371" s="1"/>
      <c r="AG371" s="55">
        <v>6151.63</v>
      </c>
      <c r="AH371" s="55"/>
      <c r="AI371" s="55">
        <v>8292.16</v>
      </c>
      <c r="AJ371" s="55"/>
      <c r="AK371" s="55">
        <v>14443.79</v>
      </c>
      <c r="AL371" s="8">
        <f>+'Gen Rev'!AI372-'Gen Exp'!AE371+'Gen Exp'!AI371-AK371</f>
        <v>0</v>
      </c>
      <c r="AM371" s="21" t="str">
        <f>'Gen Rev'!A372</f>
        <v>Midland</v>
      </c>
      <c r="AN371" s="67" t="str">
        <f t="shared" si="20"/>
        <v>Midland</v>
      </c>
      <c r="AO371" s="67" t="b">
        <f t="shared" si="21"/>
        <v>1</v>
      </c>
    </row>
    <row r="372" spans="1:41" s="67" customFormat="1" ht="12" customHeight="1" x14ac:dyDescent="0.2">
      <c r="A372" s="1" t="s">
        <v>218</v>
      </c>
      <c r="B372" s="1"/>
      <c r="C372" s="1" t="s">
        <v>521</v>
      </c>
      <c r="D372" s="1"/>
      <c r="E372" s="48">
        <v>56490.44</v>
      </c>
      <c r="F372" s="48"/>
      <c r="G372" s="48">
        <v>0</v>
      </c>
      <c r="H372" s="48"/>
      <c r="I372" s="48">
        <v>9562.23</v>
      </c>
      <c r="J372" s="48"/>
      <c r="K372" s="48">
        <v>0</v>
      </c>
      <c r="L372" s="48"/>
      <c r="M372" s="48">
        <v>10556.36</v>
      </c>
      <c r="N372" s="48"/>
      <c r="O372" s="48">
        <v>0</v>
      </c>
      <c r="P372" s="48"/>
      <c r="Q372" s="48">
        <v>141031</v>
      </c>
      <c r="R372" s="48"/>
      <c r="S372" s="48">
        <v>0</v>
      </c>
      <c r="T372" s="48"/>
      <c r="U372" s="48">
        <v>0</v>
      </c>
      <c r="V372" s="48"/>
      <c r="W372" s="48">
        <v>0</v>
      </c>
      <c r="X372" s="48"/>
      <c r="Y372" s="48">
        <v>0</v>
      </c>
      <c r="Z372" s="48"/>
      <c r="AA372" s="48">
        <v>0</v>
      </c>
      <c r="AB372" s="48"/>
      <c r="AC372" s="48">
        <v>0</v>
      </c>
      <c r="AD372" s="48"/>
      <c r="AE372" s="48">
        <f t="shared" si="22"/>
        <v>217640.03</v>
      </c>
      <c r="AF372" s="1"/>
      <c r="AG372" s="55">
        <v>46221.75</v>
      </c>
      <c r="AH372" s="55"/>
      <c r="AI372" s="55">
        <v>117794.46</v>
      </c>
      <c r="AJ372" s="55"/>
      <c r="AK372" s="55">
        <v>164016.21</v>
      </c>
      <c r="AL372" s="8">
        <f>+'Gen Rev'!AI373-'Gen Exp'!AE372+'Gen Exp'!AI372-AK372</f>
        <v>0</v>
      </c>
      <c r="AM372" s="21" t="str">
        <f>'Gen Rev'!A373</f>
        <v>Midvale</v>
      </c>
      <c r="AN372" s="67" t="str">
        <f t="shared" si="20"/>
        <v>Midvale</v>
      </c>
      <c r="AO372" s="67" t="b">
        <f t="shared" si="21"/>
        <v>1</v>
      </c>
    </row>
    <row r="373" spans="1:41" s="67" customFormat="1" ht="12" customHeight="1" x14ac:dyDescent="0.2">
      <c r="A373" s="1" t="s">
        <v>426</v>
      </c>
      <c r="B373" s="1"/>
      <c r="C373" s="1" t="s">
        <v>401</v>
      </c>
      <c r="D373" s="1"/>
      <c r="E373" s="48">
        <v>0</v>
      </c>
      <c r="F373" s="48"/>
      <c r="G373" s="48">
        <v>0</v>
      </c>
      <c r="H373" s="48"/>
      <c r="I373" s="48">
        <v>3011</v>
      </c>
      <c r="J373" s="48"/>
      <c r="K373" s="48">
        <v>0</v>
      </c>
      <c r="L373" s="48"/>
      <c r="M373" s="48">
        <v>1501</v>
      </c>
      <c r="N373" s="48"/>
      <c r="O373" s="48">
        <v>5438</v>
      </c>
      <c r="P373" s="48"/>
      <c r="Q373" s="48">
        <v>18573</v>
      </c>
      <c r="R373" s="48"/>
      <c r="S373" s="48">
        <v>0</v>
      </c>
      <c r="T373" s="48"/>
      <c r="U373" s="48">
        <v>0</v>
      </c>
      <c r="V373" s="48"/>
      <c r="W373" s="48">
        <v>0</v>
      </c>
      <c r="X373" s="48"/>
      <c r="Y373" s="48">
        <v>0</v>
      </c>
      <c r="Z373" s="48"/>
      <c r="AA373" s="48">
        <v>0</v>
      </c>
      <c r="AB373" s="48"/>
      <c r="AC373" s="48">
        <v>0</v>
      </c>
      <c r="AD373" s="48"/>
      <c r="AE373" s="48">
        <f t="shared" si="22"/>
        <v>28523</v>
      </c>
      <c r="AF373" s="48"/>
      <c r="AG373" s="59"/>
      <c r="AH373" s="59"/>
      <c r="AI373" s="59"/>
      <c r="AJ373" s="59"/>
      <c r="AK373" s="59"/>
      <c r="AL373" s="8">
        <f>+'Gen Rev'!AI374-'Gen Exp'!AE373+'Gen Exp'!AI373-AK373</f>
        <v>-4895</v>
      </c>
      <c r="AM373" s="21" t="str">
        <f>'Gen Rev'!A374</f>
        <v>Midway</v>
      </c>
      <c r="AN373" s="67" t="str">
        <f t="shared" si="20"/>
        <v>Midway</v>
      </c>
      <c r="AO373" s="67" t="b">
        <f t="shared" si="21"/>
        <v>1</v>
      </c>
    </row>
    <row r="374" spans="1:41" ht="12" customHeight="1" x14ac:dyDescent="0.2">
      <c r="A374" s="1" t="s">
        <v>8</v>
      </c>
      <c r="C374" s="1" t="s">
        <v>848</v>
      </c>
      <c r="D374" s="67"/>
      <c r="E374" s="48">
        <v>19178</v>
      </c>
      <c r="F374" s="48"/>
      <c r="G374" s="48">
        <v>715</v>
      </c>
      <c r="H374" s="48"/>
      <c r="I374" s="48">
        <v>0</v>
      </c>
      <c r="J374" s="48"/>
      <c r="K374" s="48">
        <v>3530</v>
      </c>
      <c r="L374" s="48"/>
      <c r="M374" s="48">
        <v>0</v>
      </c>
      <c r="N374" s="48"/>
      <c r="O374" s="48">
        <v>0</v>
      </c>
      <c r="P374" s="48"/>
      <c r="Q374" s="48">
        <v>24775.919999999998</v>
      </c>
      <c r="R374" s="48"/>
      <c r="S374" s="48">
        <v>0</v>
      </c>
      <c r="T374" s="48"/>
      <c r="U374" s="48">
        <v>0</v>
      </c>
      <c r="V374" s="48"/>
      <c r="W374" s="48">
        <v>0</v>
      </c>
      <c r="X374" s="48"/>
      <c r="Y374" s="48">
        <v>0</v>
      </c>
      <c r="Z374" s="48"/>
      <c r="AA374" s="48">
        <v>0</v>
      </c>
      <c r="AB374" s="48"/>
      <c r="AC374" s="48">
        <v>0</v>
      </c>
      <c r="AD374" s="48"/>
      <c r="AE374" s="48">
        <f t="shared" si="22"/>
        <v>48198.92</v>
      </c>
      <c r="AG374" s="55">
        <v>-6186.45</v>
      </c>
      <c r="AI374" s="55">
        <v>49067.25</v>
      </c>
      <c r="AK374" s="55">
        <v>42880.800000000003</v>
      </c>
      <c r="AL374" s="8">
        <f>+'Gen Rev'!AI375-'Gen Exp'!AE374+'Gen Exp'!AI374-AK374</f>
        <v>0</v>
      </c>
      <c r="AM374" s="21" t="str">
        <f>'Gen Rev'!A375</f>
        <v>Mifflin</v>
      </c>
      <c r="AN374" s="67" t="str">
        <f t="shared" si="20"/>
        <v>Mifflin</v>
      </c>
      <c r="AO374" s="67" t="b">
        <f t="shared" si="21"/>
        <v>1</v>
      </c>
    </row>
    <row r="375" spans="1:41" ht="12" customHeight="1" x14ac:dyDescent="0.2">
      <c r="A375" s="1" t="s">
        <v>324</v>
      </c>
      <c r="C375" s="1" t="s">
        <v>325</v>
      </c>
      <c r="D375" s="5"/>
      <c r="E375" s="48">
        <v>318263</v>
      </c>
      <c r="F375" s="48"/>
      <c r="G375" s="48">
        <v>0</v>
      </c>
      <c r="H375" s="48"/>
      <c r="I375" s="48">
        <v>187972</v>
      </c>
      <c r="J375" s="48"/>
      <c r="K375" s="48">
        <v>4729</v>
      </c>
      <c r="L375" s="48"/>
      <c r="M375" s="48">
        <v>0</v>
      </c>
      <c r="N375" s="48"/>
      <c r="O375" s="48">
        <v>0</v>
      </c>
      <c r="P375" s="48"/>
      <c r="Q375" s="48">
        <v>101187</v>
      </c>
      <c r="R375" s="48"/>
      <c r="S375" s="48">
        <v>0</v>
      </c>
      <c r="T375" s="48"/>
      <c r="U375" s="48">
        <v>0</v>
      </c>
      <c r="V375" s="48"/>
      <c r="W375" s="48">
        <v>0</v>
      </c>
      <c r="X375" s="48"/>
      <c r="Y375" s="48">
        <v>21909</v>
      </c>
      <c r="Z375" s="48"/>
      <c r="AA375" s="48">
        <v>0</v>
      </c>
      <c r="AB375" s="48"/>
      <c r="AC375" s="48">
        <v>0</v>
      </c>
      <c r="AD375" s="48"/>
      <c r="AE375" s="48">
        <f t="shared" si="22"/>
        <v>634060</v>
      </c>
      <c r="AF375" s="48"/>
      <c r="AG375" s="59"/>
      <c r="AH375" s="59"/>
      <c r="AI375" s="59"/>
      <c r="AJ375" s="59"/>
      <c r="AK375" s="59"/>
      <c r="AL375" s="8">
        <f>+'Gen Rev'!AI376-'Gen Exp'!AE375+'Gen Exp'!AI375-AK375</f>
        <v>4591</v>
      </c>
      <c r="AM375" s="21" t="str">
        <f>'Gen Rev'!A376</f>
        <v>Milan</v>
      </c>
      <c r="AN375" s="67" t="str">
        <f t="shared" si="20"/>
        <v>Milan</v>
      </c>
      <c r="AO375" s="67" t="b">
        <f t="shared" si="21"/>
        <v>1</v>
      </c>
    </row>
    <row r="376" spans="1:41" ht="12" customHeight="1" x14ac:dyDescent="0.2">
      <c r="A376" s="1" t="s">
        <v>222</v>
      </c>
      <c r="C376" s="1" t="s">
        <v>531</v>
      </c>
      <c r="E376" s="48">
        <v>8985.5300000000007</v>
      </c>
      <c r="F376" s="48"/>
      <c r="G376" s="48">
        <v>0</v>
      </c>
      <c r="H376" s="48"/>
      <c r="I376" s="48">
        <v>2615.52</v>
      </c>
      <c r="J376" s="48"/>
      <c r="K376" s="48">
        <v>6600.95</v>
      </c>
      <c r="L376" s="48"/>
      <c r="M376" s="48">
        <v>16560.41</v>
      </c>
      <c r="N376" s="48"/>
      <c r="O376" s="48">
        <v>342.76</v>
      </c>
      <c r="P376" s="48"/>
      <c r="Q376" s="48">
        <v>48175.32</v>
      </c>
      <c r="R376" s="48"/>
      <c r="S376" s="48">
        <v>0</v>
      </c>
      <c r="T376" s="48"/>
      <c r="U376" s="48">
        <v>0</v>
      </c>
      <c r="V376" s="48"/>
      <c r="W376" s="48">
        <v>7005.8</v>
      </c>
      <c r="X376" s="48"/>
      <c r="Y376" s="48">
        <v>0</v>
      </c>
      <c r="Z376" s="48"/>
      <c r="AA376" s="48">
        <v>0</v>
      </c>
      <c r="AB376" s="48"/>
      <c r="AC376" s="48">
        <v>0</v>
      </c>
      <c r="AD376" s="48"/>
      <c r="AE376" s="48">
        <f t="shared" si="22"/>
        <v>90286.290000000008</v>
      </c>
      <c r="AG376" s="55">
        <v>99502.720000000001</v>
      </c>
      <c r="AI376" s="55">
        <v>64292.23</v>
      </c>
      <c r="AK376" s="55">
        <v>163794.95000000001</v>
      </c>
      <c r="AL376" s="8">
        <f>+'Gen Rev'!AI377-'Gen Exp'!AE376+'Gen Exp'!AI376-AK376</f>
        <v>0</v>
      </c>
      <c r="AM376" s="21" t="str">
        <f>'Gen Rev'!A377</f>
        <v>Milford Center</v>
      </c>
      <c r="AN376" s="67" t="str">
        <f t="shared" si="20"/>
        <v>Milford Center</v>
      </c>
      <c r="AO376" s="67" t="b">
        <f t="shared" si="21"/>
        <v>1</v>
      </c>
    </row>
    <row r="377" spans="1:41" ht="12" customHeight="1" x14ac:dyDescent="0.2">
      <c r="A377" s="1" t="s">
        <v>240</v>
      </c>
      <c r="C377" s="1" t="s">
        <v>558</v>
      </c>
      <c r="E377" s="48">
        <v>31723.56</v>
      </c>
      <c r="F377" s="48"/>
      <c r="G377" s="48">
        <v>0</v>
      </c>
      <c r="H377" s="48"/>
      <c r="I377" s="48">
        <v>24386.59</v>
      </c>
      <c r="J377" s="48"/>
      <c r="K377" s="48">
        <v>4177.3100000000004</v>
      </c>
      <c r="L377" s="48"/>
      <c r="M377" s="48">
        <v>69646.47</v>
      </c>
      <c r="N377" s="48"/>
      <c r="O377" s="48">
        <v>10401.030000000001</v>
      </c>
      <c r="P377" s="48"/>
      <c r="Q377" s="48">
        <v>78639.22</v>
      </c>
      <c r="R377" s="48"/>
      <c r="S377" s="48">
        <v>0</v>
      </c>
      <c r="T377" s="48"/>
      <c r="U377" s="48">
        <v>0</v>
      </c>
      <c r="V377" s="48"/>
      <c r="W377" s="48">
        <v>0</v>
      </c>
      <c r="X377" s="48"/>
      <c r="Y377" s="48">
        <v>0</v>
      </c>
      <c r="Z377" s="48"/>
      <c r="AA377" s="48">
        <v>0</v>
      </c>
      <c r="AB377" s="48"/>
      <c r="AC377" s="48">
        <v>0</v>
      </c>
      <c r="AD377" s="48"/>
      <c r="AE377" s="48">
        <f t="shared" si="22"/>
        <v>218974.18</v>
      </c>
      <c r="AG377" s="55">
        <v>-5119.79</v>
      </c>
      <c r="AI377" s="55">
        <v>123070.05</v>
      </c>
      <c r="AK377" s="55">
        <v>117950.26</v>
      </c>
      <c r="AL377" s="8">
        <f>+'Gen Rev'!AI378-'Gen Exp'!AE377+'Gen Exp'!AI377-AK377</f>
        <v>0</v>
      </c>
      <c r="AM377" s="21" t="str">
        <f>'Gen Rev'!A378</f>
        <v>Millbury</v>
      </c>
      <c r="AN377" s="67" t="str">
        <f t="shared" si="20"/>
        <v>Millbury</v>
      </c>
      <c r="AO377" s="67" t="b">
        <f t="shared" si="21"/>
        <v>1</v>
      </c>
    </row>
    <row r="378" spans="1:41" s="67" customFormat="1" ht="12" customHeight="1" x14ac:dyDescent="0.2">
      <c r="A378" s="1" t="s">
        <v>65</v>
      </c>
      <c r="B378" s="1"/>
      <c r="C378" s="1" t="s">
        <v>334</v>
      </c>
      <c r="D378" s="1"/>
      <c r="E378" s="48">
        <v>4022.24</v>
      </c>
      <c r="F378" s="48"/>
      <c r="G378" s="48">
        <v>0</v>
      </c>
      <c r="H378" s="48"/>
      <c r="I378" s="48">
        <v>0</v>
      </c>
      <c r="J378" s="48"/>
      <c r="K378" s="48">
        <v>0</v>
      </c>
      <c r="L378" s="48"/>
      <c r="M378" s="48">
        <v>2524.96</v>
      </c>
      <c r="N378" s="48"/>
      <c r="O378" s="48">
        <v>0</v>
      </c>
      <c r="P378" s="48"/>
      <c r="Q378" s="48">
        <v>8799.66</v>
      </c>
      <c r="R378" s="48"/>
      <c r="S378" s="48">
        <v>0</v>
      </c>
      <c r="T378" s="48"/>
      <c r="U378" s="48">
        <v>0</v>
      </c>
      <c r="V378" s="48"/>
      <c r="W378" s="48">
        <v>0</v>
      </c>
      <c r="X378" s="48"/>
      <c r="Y378" s="48">
        <v>0</v>
      </c>
      <c r="Z378" s="48"/>
      <c r="AA378" s="48">
        <v>0</v>
      </c>
      <c r="AB378" s="48"/>
      <c r="AC378" s="48">
        <v>0</v>
      </c>
      <c r="AD378" s="48"/>
      <c r="AE378" s="48">
        <f t="shared" si="22"/>
        <v>15346.86</v>
      </c>
      <c r="AF378" s="1"/>
      <c r="AG378" s="55">
        <v>-263.38</v>
      </c>
      <c r="AH378" s="55"/>
      <c r="AI378" s="55">
        <v>427.26</v>
      </c>
      <c r="AJ378" s="55"/>
      <c r="AK378" s="55">
        <v>163.88</v>
      </c>
      <c r="AL378" s="8">
        <f>+'Gen Rev'!AI379-'Gen Exp'!AE378+'Gen Exp'!AI378-AK378</f>
        <v>-1.0231815394945443E-12</v>
      </c>
      <c r="AM378" s="21" t="str">
        <f>'Gen Rev'!A379</f>
        <v>Milledgeville</v>
      </c>
      <c r="AN378" s="67" t="str">
        <f t="shared" si="20"/>
        <v>Milledgeville</v>
      </c>
      <c r="AO378" s="67" t="b">
        <f t="shared" si="21"/>
        <v>1</v>
      </c>
    </row>
    <row r="379" spans="1:41" s="67" customFormat="1" ht="12" customHeight="1" x14ac:dyDescent="0.2">
      <c r="A379" s="1" t="s">
        <v>191</v>
      </c>
      <c r="B379" s="1"/>
      <c r="C379" s="1" t="s">
        <v>476</v>
      </c>
      <c r="D379" s="1"/>
      <c r="E379" s="48">
        <v>4301.8</v>
      </c>
      <c r="F379" s="48"/>
      <c r="G379" s="48">
        <v>0</v>
      </c>
      <c r="H379" s="48"/>
      <c r="I379" s="48">
        <v>0</v>
      </c>
      <c r="J379" s="48"/>
      <c r="K379" s="48">
        <v>309.14</v>
      </c>
      <c r="L379" s="48"/>
      <c r="M379" s="48">
        <v>4149.96</v>
      </c>
      <c r="N379" s="48"/>
      <c r="O379" s="48">
        <v>3290</v>
      </c>
      <c r="P379" s="48"/>
      <c r="Q379" s="48">
        <v>22558.09</v>
      </c>
      <c r="R379" s="48"/>
      <c r="S379" s="48">
        <v>0</v>
      </c>
      <c r="T379" s="48"/>
      <c r="U379" s="48">
        <v>0</v>
      </c>
      <c r="V379" s="48"/>
      <c r="W379" s="48">
        <v>0</v>
      </c>
      <c r="X379" s="48"/>
      <c r="Y379" s="48">
        <v>10000</v>
      </c>
      <c r="Z379" s="48"/>
      <c r="AA379" s="48">
        <v>0</v>
      </c>
      <c r="AB379" s="48"/>
      <c r="AC379" s="48">
        <v>1156.9000000000001</v>
      </c>
      <c r="AD379" s="48"/>
      <c r="AE379" s="48">
        <f t="shared" si="22"/>
        <v>45765.890000000007</v>
      </c>
      <c r="AF379" s="1"/>
      <c r="AG379" s="55">
        <v>26328.080000000002</v>
      </c>
      <c r="AH379" s="55"/>
      <c r="AI379" s="55">
        <v>230711.32</v>
      </c>
      <c r="AJ379" s="55"/>
      <c r="AK379" s="55">
        <v>257039.4</v>
      </c>
      <c r="AL379" s="8">
        <f>+'Gen Rev'!AI380-'Gen Exp'!AE379+'Gen Exp'!AI379-AK379</f>
        <v>0</v>
      </c>
      <c r="AM379" s="21" t="str">
        <f>'Gen Rev'!A380</f>
        <v>Miller City</v>
      </c>
      <c r="AN379" s="67" t="str">
        <f t="shared" si="20"/>
        <v>Miller City</v>
      </c>
      <c r="AO379" s="67" t="b">
        <f t="shared" si="21"/>
        <v>1</v>
      </c>
    </row>
    <row r="380" spans="1:41" s="67" customFormat="1" ht="12" customHeight="1" x14ac:dyDescent="0.2">
      <c r="A380" s="1" t="s">
        <v>384</v>
      </c>
      <c r="B380" s="1"/>
      <c r="C380" s="1" t="s">
        <v>382</v>
      </c>
      <c r="D380" s="1"/>
      <c r="E380" s="48">
        <v>579478.43999999994</v>
      </c>
      <c r="F380" s="48"/>
      <c r="G380" s="48">
        <v>15568.74</v>
      </c>
      <c r="H380" s="48"/>
      <c r="I380" s="48">
        <v>51330.66</v>
      </c>
      <c r="J380" s="48"/>
      <c r="K380" s="48">
        <v>23109.31</v>
      </c>
      <c r="L380" s="48"/>
      <c r="M380" s="48">
        <v>0</v>
      </c>
      <c r="N380" s="48"/>
      <c r="O380" s="48">
        <v>111077.01</v>
      </c>
      <c r="P380" s="48"/>
      <c r="Q380" s="48">
        <v>296602.82</v>
      </c>
      <c r="R380" s="48"/>
      <c r="S380" s="48">
        <v>0</v>
      </c>
      <c r="T380" s="48"/>
      <c r="U380" s="48">
        <v>0</v>
      </c>
      <c r="V380" s="48"/>
      <c r="W380" s="48">
        <v>0</v>
      </c>
      <c r="X380" s="48"/>
      <c r="Y380" s="48">
        <v>90000</v>
      </c>
      <c r="Z380" s="48"/>
      <c r="AA380" s="48">
        <v>0</v>
      </c>
      <c r="AB380" s="48"/>
      <c r="AC380" s="48">
        <v>0</v>
      </c>
      <c r="AD380" s="48"/>
      <c r="AE380" s="48">
        <f t="shared" si="22"/>
        <v>1167166.98</v>
      </c>
      <c r="AF380" s="1"/>
      <c r="AG380" s="55">
        <v>851247.74</v>
      </c>
      <c r="AH380" s="55"/>
      <c r="AI380" s="55">
        <v>624941.06000000006</v>
      </c>
      <c r="AJ380" s="55"/>
      <c r="AK380" s="55">
        <v>1476188.8</v>
      </c>
      <c r="AL380" s="8">
        <f>+'Gen Rev'!AI381-'Gen Exp'!AE380+'Gen Exp'!AI380-AK380</f>
        <v>0</v>
      </c>
      <c r="AM380" s="21" t="str">
        <f>'Gen Rev'!A381</f>
        <v>Millersburg</v>
      </c>
      <c r="AN380" s="67" t="str">
        <f t="shared" si="20"/>
        <v>Millersburg</v>
      </c>
      <c r="AO380" s="67" t="b">
        <f t="shared" si="21"/>
        <v>1</v>
      </c>
    </row>
    <row r="381" spans="1:41" s="67" customFormat="1" ht="12" customHeight="1" x14ac:dyDescent="0.2">
      <c r="A381" s="1" t="s">
        <v>58</v>
      </c>
      <c r="B381" s="1"/>
      <c r="C381" s="1" t="s">
        <v>327</v>
      </c>
      <c r="D381" s="1"/>
      <c r="E381" s="48">
        <v>69014.720000000001</v>
      </c>
      <c r="F381" s="48"/>
      <c r="G381" s="48">
        <v>4965.6000000000004</v>
      </c>
      <c r="H381" s="48"/>
      <c r="I381" s="48">
        <v>47265.05</v>
      </c>
      <c r="J381" s="48"/>
      <c r="K381" s="48">
        <v>0</v>
      </c>
      <c r="L381" s="48"/>
      <c r="M381" s="48">
        <v>0</v>
      </c>
      <c r="N381" s="48"/>
      <c r="O381" s="48">
        <v>0</v>
      </c>
      <c r="P381" s="48"/>
      <c r="Q381" s="48">
        <v>73416.36</v>
      </c>
      <c r="R381" s="48"/>
      <c r="S381" s="48">
        <v>0</v>
      </c>
      <c r="T381" s="48"/>
      <c r="U381" s="48">
        <v>26332.17</v>
      </c>
      <c r="V381" s="48"/>
      <c r="W381" s="48">
        <v>11261.29</v>
      </c>
      <c r="X381" s="48"/>
      <c r="Y381" s="48">
        <v>0</v>
      </c>
      <c r="Z381" s="48"/>
      <c r="AA381" s="48">
        <v>0</v>
      </c>
      <c r="AB381" s="48"/>
      <c r="AC381" s="48">
        <v>0</v>
      </c>
      <c r="AD381" s="48"/>
      <c r="AE381" s="48">
        <f t="shared" si="22"/>
        <v>232255.19000000003</v>
      </c>
      <c r="AF381" s="1"/>
      <c r="AG381" s="55">
        <v>-19496.41</v>
      </c>
      <c r="AH381" s="55"/>
      <c r="AI381" s="55">
        <v>80275.350000000006</v>
      </c>
      <c r="AJ381" s="55"/>
      <c r="AK381" s="55">
        <v>60778.94</v>
      </c>
      <c r="AL381" s="8">
        <f>+'Gen Rev'!AI382-'Gen Exp'!AE381+'Gen Exp'!AI381-AK381</f>
        <v>0</v>
      </c>
      <c r="AM381" s="21" t="str">
        <f>'Gen Rev'!A382</f>
        <v>Millersport</v>
      </c>
      <c r="AN381" s="67" t="str">
        <f t="shared" si="20"/>
        <v>Millersport</v>
      </c>
      <c r="AO381" s="67" t="b">
        <f t="shared" si="21"/>
        <v>1</v>
      </c>
    </row>
    <row r="382" spans="1:41" s="67" customFormat="1" ht="12" customHeight="1" x14ac:dyDescent="0.2">
      <c r="A382" s="1" t="s">
        <v>443</v>
      </c>
      <c r="B382" s="1"/>
      <c r="C382" s="1" t="s">
        <v>441</v>
      </c>
      <c r="D382" s="1"/>
      <c r="E382" s="48">
        <v>920</v>
      </c>
      <c r="F382" s="48"/>
      <c r="G382" s="48">
        <v>145</v>
      </c>
      <c r="H382" s="48"/>
      <c r="I382" s="48">
        <v>0</v>
      </c>
      <c r="J382" s="48"/>
      <c r="K382" s="48">
        <v>0</v>
      </c>
      <c r="L382" s="48"/>
      <c r="M382" s="48">
        <v>437</v>
      </c>
      <c r="N382" s="48"/>
      <c r="O382" s="48">
        <v>0</v>
      </c>
      <c r="P382" s="48"/>
      <c r="Q382" s="48">
        <v>2525</v>
      </c>
      <c r="R382" s="48"/>
      <c r="S382" s="48">
        <v>0</v>
      </c>
      <c r="T382" s="48"/>
      <c r="U382" s="48">
        <v>0</v>
      </c>
      <c r="V382" s="48"/>
      <c r="W382" s="48">
        <v>0</v>
      </c>
      <c r="X382" s="48"/>
      <c r="Y382" s="48">
        <v>0</v>
      </c>
      <c r="Z382" s="48"/>
      <c r="AA382" s="48">
        <v>0</v>
      </c>
      <c r="AB382" s="48"/>
      <c r="AC382" s="48">
        <v>0</v>
      </c>
      <c r="AD382" s="48"/>
      <c r="AE382" s="48">
        <f t="shared" si="22"/>
        <v>4027</v>
      </c>
      <c r="AF382" s="48"/>
      <c r="AG382" s="59"/>
      <c r="AH382" s="59"/>
      <c r="AI382" s="59"/>
      <c r="AJ382" s="59"/>
      <c r="AK382" s="59"/>
      <c r="AL382" s="8">
        <f>+'Gen Rev'!AI383-'Gen Exp'!AE382+'Gen Exp'!AI382-AK382</f>
        <v>1425</v>
      </c>
      <c r="AM382" s="21" t="str">
        <f>'Gen Rev'!A383</f>
        <v>Miltonsburg</v>
      </c>
      <c r="AN382" s="67" t="str">
        <f t="shared" si="20"/>
        <v>Miltonsburg</v>
      </c>
      <c r="AO382" s="67" t="b">
        <f t="shared" si="21"/>
        <v>1</v>
      </c>
    </row>
    <row r="383" spans="1:41" s="67" customFormat="1" ht="12" customHeight="1" x14ac:dyDescent="0.2">
      <c r="A383" s="1" t="s">
        <v>219</v>
      </c>
      <c r="B383" s="1"/>
      <c r="C383" s="1" t="s">
        <v>521</v>
      </c>
      <c r="D383" s="1"/>
      <c r="E383" s="48">
        <v>0</v>
      </c>
      <c r="F383" s="48"/>
      <c r="G383" s="48">
        <v>233.77</v>
      </c>
      <c r="H383" s="48"/>
      <c r="I383" s="48">
        <v>9844.1299999999992</v>
      </c>
      <c r="J383" s="48"/>
      <c r="K383" s="48">
        <v>3383.45</v>
      </c>
      <c r="L383" s="48"/>
      <c r="M383" s="48">
        <v>20597.38</v>
      </c>
      <c r="N383" s="48"/>
      <c r="O383" s="48">
        <v>9883.69</v>
      </c>
      <c r="P383" s="48"/>
      <c r="Q383" s="48">
        <v>69171.69</v>
      </c>
      <c r="R383" s="48"/>
      <c r="S383" s="48">
        <v>248.12</v>
      </c>
      <c r="T383" s="48"/>
      <c r="U383" s="48">
        <v>0</v>
      </c>
      <c r="V383" s="48"/>
      <c r="W383" s="48">
        <v>0</v>
      </c>
      <c r="X383" s="48"/>
      <c r="Y383" s="48">
        <v>0</v>
      </c>
      <c r="Z383" s="48"/>
      <c r="AA383" s="48">
        <v>0</v>
      </c>
      <c r="AB383" s="48"/>
      <c r="AC383" s="48">
        <v>0</v>
      </c>
      <c r="AD383" s="48"/>
      <c r="AE383" s="48">
        <f t="shared" si="22"/>
        <v>113362.23</v>
      </c>
      <c r="AF383" s="1"/>
      <c r="AG383" s="55">
        <v>13415.24</v>
      </c>
      <c r="AH383" s="55"/>
      <c r="AI383" s="55">
        <v>240909.92</v>
      </c>
      <c r="AJ383" s="55"/>
      <c r="AK383" s="55">
        <v>254325.16</v>
      </c>
      <c r="AL383" s="8">
        <f>+'Gen Rev'!AI384-'Gen Exp'!AE383+'Gen Exp'!AI383-AK383</f>
        <v>0</v>
      </c>
      <c r="AM383" s="21" t="str">
        <f>'Gen Rev'!A384</f>
        <v>Mineral City</v>
      </c>
      <c r="AN383" s="67" t="str">
        <f t="shared" si="20"/>
        <v>Mineral City</v>
      </c>
      <c r="AO383" s="67" t="b">
        <f t="shared" si="21"/>
        <v>1</v>
      </c>
    </row>
    <row r="384" spans="1:41" ht="12" customHeight="1" x14ac:dyDescent="0.2">
      <c r="A384" s="1" t="s">
        <v>507</v>
      </c>
      <c r="C384" s="1" t="s">
        <v>502</v>
      </c>
      <c r="E384" s="48">
        <v>1172581</v>
      </c>
      <c r="F384" s="48"/>
      <c r="G384" s="48">
        <v>19312</v>
      </c>
      <c r="H384" s="48"/>
      <c r="I384" s="48">
        <v>0</v>
      </c>
      <c r="J384" s="48"/>
      <c r="K384" s="48">
        <v>0</v>
      </c>
      <c r="L384" s="48"/>
      <c r="M384" s="48">
        <v>315711</v>
      </c>
      <c r="N384" s="48"/>
      <c r="O384" s="48">
        <v>0</v>
      </c>
      <c r="P384" s="48"/>
      <c r="Q384" s="48">
        <v>368056</v>
      </c>
      <c r="R384" s="48"/>
      <c r="S384" s="48">
        <v>0</v>
      </c>
      <c r="T384" s="48"/>
      <c r="U384" s="48">
        <v>0</v>
      </c>
      <c r="V384" s="48"/>
      <c r="W384" s="48">
        <v>0</v>
      </c>
      <c r="X384" s="48"/>
      <c r="Y384" s="48">
        <v>0</v>
      </c>
      <c r="Z384" s="48"/>
      <c r="AA384" s="48">
        <v>0</v>
      </c>
      <c r="AB384" s="48"/>
      <c r="AC384" s="48">
        <v>284620</v>
      </c>
      <c r="AD384" s="48"/>
      <c r="AE384" s="48">
        <f t="shared" si="22"/>
        <v>2160280</v>
      </c>
      <c r="AF384" s="48"/>
      <c r="AG384" s="59"/>
      <c r="AH384" s="59"/>
      <c r="AI384" s="59"/>
      <c r="AJ384" s="59"/>
      <c r="AK384" s="59"/>
      <c r="AL384" s="8">
        <f>+'Gen Rev'!AI385-'Gen Exp'!AE384+'Gen Exp'!AI384-AK384</f>
        <v>-241653</v>
      </c>
      <c r="AM384" s="21" t="str">
        <f>'Gen Rev'!A385</f>
        <v xml:space="preserve">Minerva  </v>
      </c>
      <c r="AN384" s="67" t="str">
        <f t="shared" si="20"/>
        <v xml:space="preserve">Minerva  </v>
      </c>
      <c r="AO384" s="67" t="b">
        <f t="shared" si="21"/>
        <v>1</v>
      </c>
    </row>
    <row r="385" spans="1:41" s="67" customFormat="1" ht="12" customHeight="1" x14ac:dyDescent="0.2">
      <c r="A385" s="1" t="s">
        <v>69</v>
      </c>
      <c r="B385" s="1"/>
      <c r="C385" s="1" t="s">
        <v>329</v>
      </c>
      <c r="D385" s="1"/>
      <c r="E385" s="48">
        <v>597870.61</v>
      </c>
      <c r="F385" s="48"/>
      <c r="G385" s="48">
        <v>0</v>
      </c>
      <c r="H385" s="48"/>
      <c r="I385" s="48">
        <v>74489.62</v>
      </c>
      <c r="J385" s="48"/>
      <c r="K385" s="48">
        <v>1566.5</v>
      </c>
      <c r="L385" s="48"/>
      <c r="M385" s="48">
        <v>59742.92</v>
      </c>
      <c r="N385" s="48"/>
      <c r="O385" s="48">
        <v>0</v>
      </c>
      <c r="P385" s="48"/>
      <c r="Q385" s="48">
        <v>321273.45</v>
      </c>
      <c r="R385" s="48"/>
      <c r="S385" s="48">
        <v>0</v>
      </c>
      <c r="T385" s="48"/>
      <c r="U385" s="48">
        <v>0</v>
      </c>
      <c r="V385" s="48"/>
      <c r="W385" s="48">
        <v>0</v>
      </c>
      <c r="X385" s="48"/>
      <c r="Y385" s="48">
        <v>0</v>
      </c>
      <c r="Z385" s="48"/>
      <c r="AA385" s="48">
        <v>0</v>
      </c>
      <c r="AB385" s="48"/>
      <c r="AC385" s="48">
        <v>0</v>
      </c>
      <c r="AD385" s="48"/>
      <c r="AE385" s="48">
        <f t="shared" si="22"/>
        <v>1054943.1000000001</v>
      </c>
      <c r="AF385" s="1"/>
      <c r="AG385" s="55">
        <v>34244.76</v>
      </c>
      <c r="AH385" s="55"/>
      <c r="AI385" s="55">
        <v>87290.73</v>
      </c>
      <c r="AJ385" s="55"/>
      <c r="AK385" s="55">
        <v>121535.49</v>
      </c>
      <c r="AL385" s="8">
        <f>+'Gen Rev'!AI386-'Gen Exp'!AE385+'Gen Exp'!AI385-AK385</f>
        <v>-2.3283064365386963E-10</v>
      </c>
      <c r="AM385" s="21" t="str">
        <f>'Gen Rev'!A386</f>
        <v>Minerva Park</v>
      </c>
      <c r="AN385" s="67" t="str">
        <f t="shared" si="20"/>
        <v>Minerva Park</v>
      </c>
      <c r="AO385" s="67" t="b">
        <f t="shared" si="21"/>
        <v>1</v>
      </c>
    </row>
    <row r="386" spans="1:41" s="67" customFormat="1" ht="12" customHeight="1" x14ac:dyDescent="0.2">
      <c r="A386" s="1" t="s">
        <v>392</v>
      </c>
      <c r="B386" s="1"/>
      <c r="C386" s="1" t="s">
        <v>390</v>
      </c>
      <c r="D386" s="1"/>
      <c r="E386" s="48">
        <v>422595</v>
      </c>
      <c r="F386" s="48"/>
      <c r="G386" s="48">
        <v>11263</v>
      </c>
      <c r="H386" s="48"/>
      <c r="I386" s="48">
        <v>0</v>
      </c>
      <c r="J386" s="48"/>
      <c r="K386" s="48">
        <v>0</v>
      </c>
      <c r="L386" s="48"/>
      <c r="M386" s="48">
        <v>3286</v>
      </c>
      <c r="N386" s="48"/>
      <c r="O386" s="48">
        <v>34143</v>
      </c>
      <c r="P386" s="48"/>
      <c r="Q386" s="48">
        <v>329776</v>
      </c>
      <c r="R386" s="48"/>
      <c r="S386" s="48">
        <v>11233</v>
      </c>
      <c r="T386" s="48"/>
      <c r="U386" s="48">
        <v>0</v>
      </c>
      <c r="V386" s="48"/>
      <c r="W386" s="48">
        <v>0</v>
      </c>
      <c r="X386" s="48"/>
      <c r="Y386" s="48">
        <v>47665</v>
      </c>
      <c r="Z386" s="48"/>
      <c r="AA386" s="48">
        <v>0</v>
      </c>
      <c r="AB386" s="48"/>
      <c r="AC386" s="48">
        <v>457</v>
      </c>
      <c r="AD386" s="48"/>
      <c r="AE386" s="48">
        <f t="shared" si="22"/>
        <v>860418</v>
      </c>
      <c r="AF386" s="48"/>
      <c r="AG386" s="59"/>
      <c r="AH386" s="59"/>
      <c r="AI386" s="59"/>
      <c r="AJ386" s="59"/>
      <c r="AK386" s="59"/>
      <c r="AL386" s="8">
        <f>+'Gen Rev'!AI387-'Gen Exp'!AE386+'Gen Exp'!AI386-AK386</f>
        <v>379353</v>
      </c>
      <c r="AM386" s="21" t="str">
        <f>'Gen Rev'!A387</f>
        <v>Mingo Junction</v>
      </c>
      <c r="AN386" s="67" t="str">
        <f t="shared" si="20"/>
        <v>Mingo Junction</v>
      </c>
      <c r="AO386" s="67" t="b">
        <f t="shared" si="21"/>
        <v>1</v>
      </c>
    </row>
    <row r="387" spans="1:41" ht="12" customHeight="1" x14ac:dyDescent="0.2">
      <c r="A387" s="1" t="s">
        <v>258</v>
      </c>
      <c r="C387" s="1" t="s">
        <v>257</v>
      </c>
      <c r="E387" s="48">
        <v>668054</v>
      </c>
      <c r="F387" s="48"/>
      <c r="G387" s="48">
        <v>0</v>
      </c>
      <c r="H387" s="48"/>
      <c r="I387" s="48">
        <v>0</v>
      </c>
      <c r="J387" s="48"/>
      <c r="K387" s="48">
        <v>30205</v>
      </c>
      <c r="L387" s="48"/>
      <c r="M387" s="48">
        <v>0</v>
      </c>
      <c r="N387" s="48"/>
      <c r="O387" s="48">
        <v>0</v>
      </c>
      <c r="P387" s="48"/>
      <c r="Q387" s="48">
        <v>484238</v>
      </c>
      <c r="R387" s="48"/>
      <c r="S387" s="48">
        <v>60920</v>
      </c>
      <c r="T387" s="48"/>
      <c r="U387" s="48">
        <v>0</v>
      </c>
      <c r="V387" s="48"/>
      <c r="W387" s="48">
        <v>0</v>
      </c>
      <c r="X387" s="48"/>
      <c r="Y387" s="48">
        <v>3136727</v>
      </c>
      <c r="Z387" s="48"/>
      <c r="AA387" s="48">
        <v>0</v>
      </c>
      <c r="AB387" s="48"/>
      <c r="AC387" s="48">
        <v>0</v>
      </c>
      <c r="AD387" s="48"/>
      <c r="AE387" s="48">
        <f t="shared" si="22"/>
        <v>4380144</v>
      </c>
      <c r="AF387" s="48"/>
      <c r="AG387" s="59"/>
      <c r="AH387" s="59"/>
      <c r="AI387" s="59"/>
      <c r="AJ387" s="59"/>
      <c r="AK387" s="59"/>
      <c r="AL387" s="8">
        <f>+'Gen Rev'!AI388-'Gen Exp'!AE387+'Gen Exp'!AI387-AK387</f>
        <v>-47268</v>
      </c>
      <c r="AM387" s="21" t="str">
        <f>'Gen Rev'!A388</f>
        <v>Minster</v>
      </c>
      <c r="AN387" s="67" t="str">
        <f t="shared" si="20"/>
        <v>Minster</v>
      </c>
      <c r="AO387" s="67" t="b">
        <f t="shared" si="21"/>
        <v>1</v>
      </c>
    </row>
    <row r="388" spans="1:41" s="67" customFormat="1" ht="12" customHeight="1" x14ac:dyDescent="0.2">
      <c r="A388" s="1" t="s">
        <v>512</v>
      </c>
      <c r="B388" s="1"/>
      <c r="C388" s="1" t="s">
        <v>511</v>
      </c>
      <c r="D388" s="1"/>
      <c r="E388" s="48">
        <v>1209413</v>
      </c>
      <c r="F388" s="48"/>
      <c r="G388" s="48">
        <v>20740</v>
      </c>
      <c r="H388" s="48"/>
      <c r="I388" s="48">
        <v>0</v>
      </c>
      <c r="J388" s="48"/>
      <c r="K388" s="48">
        <v>104600</v>
      </c>
      <c r="L388" s="48"/>
      <c r="M388" s="48">
        <v>27488</v>
      </c>
      <c r="N388" s="48"/>
      <c r="O388" s="48">
        <v>0</v>
      </c>
      <c r="P388" s="48"/>
      <c r="Q388" s="48">
        <v>561915</v>
      </c>
      <c r="R388" s="48"/>
      <c r="S388" s="48">
        <v>81058</v>
      </c>
      <c r="T388" s="48"/>
      <c r="U388" s="48">
        <v>0</v>
      </c>
      <c r="V388" s="48"/>
      <c r="W388" s="48">
        <v>0</v>
      </c>
      <c r="X388" s="48"/>
      <c r="Y388" s="48">
        <v>618000</v>
      </c>
      <c r="Z388" s="48"/>
      <c r="AA388" s="48">
        <v>0</v>
      </c>
      <c r="AB388" s="48"/>
      <c r="AC388" s="48">
        <v>0</v>
      </c>
      <c r="AD388" s="48"/>
      <c r="AE388" s="48">
        <f t="shared" si="22"/>
        <v>2623214</v>
      </c>
      <c r="AF388" s="48"/>
      <c r="AG388" s="59"/>
      <c r="AH388" s="59"/>
      <c r="AI388" s="59"/>
      <c r="AJ388" s="59"/>
      <c r="AK388" s="59"/>
      <c r="AL388" s="8">
        <f>+'Gen Rev'!AI389-'Gen Exp'!AE388+'Gen Exp'!AI388-AK388</f>
        <v>206181</v>
      </c>
      <c r="AM388" s="21" t="str">
        <f>'Gen Rev'!A389</f>
        <v>Mogadore</v>
      </c>
      <c r="AN388" s="67" t="str">
        <f t="shared" si="20"/>
        <v>Mogadore</v>
      </c>
      <c r="AO388" s="67" t="b">
        <f t="shared" si="21"/>
        <v>1</v>
      </c>
    </row>
    <row r="389" spans="1:41" s="67" customFormat="1" ht="12" customHeight="1" x14ac:dyDescent="0.2">
      <c r="A389" s="1" t="s">
        <v>385</v>
      </c>
      <c r="B389" s="1"/>
      <c r="C389" s="1" t="s">
        <v>386</v>
      </c>
      <c r="D389" s="1"/>
      <c r="E389" s="48">
        <v>334927</v>
      </c>
      <c r="F389" s="48"/>
      <c r="G389" s="48">
        <v>1229</v>
      </c>
      <c r="H389" s="48"/>
      <c r="I389" s="48">
        <v>39341</v>
      </c>
      <c r="J389" s="48"/>
      <c r="K389" s="48">
        <v>52313</v>
      </c>
      <c r="L389" s="48"/>
      <c r="M389" s="48">
        <v>0</v>
      </c>
      <c r="N389" s="48"/>
      <c r="O389" s="48">
        <v>80481</v>
      </c>
      <c r="P389" s="48"/>
      <c r="Q389" s="48">
        <v>135411</v>
      </c>
      <c r="R389" s="48"/>
      <c r="S389" s="48">
        <v>4056</v>
      </c>
      <c r="T389" s="48"/>
      <c r="U389" s="48">
        <v>1750</v>
      </c>
      <c r="V389" s="48"/>
      <c r="W389" s="48">
        <v>0</v>
      </c>
      <c r="X389" s="48"/>
      <c r="Y389" s="48">
        <v>374576</v>
      </c>
      <c r="Z389" s="48"/>
      <c r="AA389" s="48">
        <v>3344471</v>
      </c>
      <c r="AB389" s="48"/>
      <c r="AC389" s="48">
        <v>0</v>
      </c>
      <c r="AD389" s="48"/>
      <c r="AE389" s="48">
        <f t="shared" ref="AE389:AE426" si="23">SUM(E389:AC389)</f>
        <v>4368555</v>
      </c>
      <c r="AF389" s="48"/>
      <c r="AG389" s="59"/>
      <c r="AH389" s="59"/>
      <c r="AI389" s="59"/>
      <c r="AJ389" s="59"/>
      <c r="AK389" s="59"/>
      <c r="AL389" s="8">
        <f>+'Gen Rev'!AI390-'Gen Exp'!AE389+'Gen Exp'!AI389-AK389</f>
        <v>735362</v>
      </c>
      <c r="AM389" s="21" t="str">
        <f>'Gen Rev'!A390</f>
        <v>Monroeville</v>
      </c>
      <c r="AN389" s="67" t="str">
        <f t="shared" si="20"/>
        <v>Monroeville</v>
      </c>
      <c r="AO389" s="67" t="b">
        <f t="shared" si="21"/>
        <v>1</v>
      </c>
    </row>
    <row r="390" spans="1:41" s="67" customFormat="1" ht="12" customHeight="1" x14ac:dyDescent="0.2">
      <c r="A390" s="1" t="s">
        <v>148</v>
      </c>
      <c r="B390" s="1"/>
      <c r="C390" s="1" t="s">
        <v>433</v>
      </c>
      <c r="D390" s="1"/>
      <c r="E390" s="48">
        <v>491.5</v>
      </c>
      <c r="F390" s="48"/>
      <c r="G390" s="48">
        <v>1346.58</v>
      </c>
      <c r="H390" s="48"/>
      <c r="I390" s="48">
        <v>0</v>
      </c>
      <c r="J390" s="48"/>
      <c r="K390" s="48">
        <v>0</v>
      </c>
      <c r="L390" s="48"/>
      <c r="M390" s="48">
        <v>0</v>
      </c>
      <c r="N390" s="48"/>
      <c r="O390" s="48">
        <v>0</v>
      </c>
      <c r="P390" s="48"/>
      <c r="Q390" s="48">
        <v>13060.26</v>
      </c>
      <c r="R390" s="48"/>
      <c r="S390" s="48">
        <v>0</v>
      </c>
      <c r="T390" s="48"/>
      <c r="U390" s="48">
        <v>0</v>
      </c>
      <c r="V390" s="48"/>
      <c r="W390" s="48">
        <v>0</v>
      </c>
      <c r="X390" s="48"/>
      <c r="Y390" s="48">
        <v>0</v>
      </c>
      <c r="Z390" s="48"/>
      <c r="AA390" s="48">
        <v>0</v>
      </c>
      <c r="AB390" s="48"/>
      <c r="AC390" s="48">
        <v>0</v>
      </c>
      <c r="AD390" s="48"/>
      <c r="AE390" s="48">
        <f t="shared" si="23"/>
        <v>14898.34</v>
      </c>
      <c r="AF390" s="1"/>
      <c r="AG390" s="55">
        <v>779.59</v>
      </c>
      <c r="AH390" s="55"/>
      <c r="AI390" s="55">
        <v>17667.14</v>
      </c>
      <c r="AJ390" s="55"/>
      <c r="AK390" s="55">
        <v>18446.73</v>
      </c>
      <c r="AL390" s="8">
        <f>+'Gen Rev'!AI391-'Gen Exp'!AE390+'Gen Exp'!AI390-AK390</f>
        <v>0</v>
      </c>
      <c r="AM390" s="21" t="str">
        <f>'Gen Rev'!A391</f>
        <v>Montezuma</v>
      </c>
      <c r="AN390" s="67" t="str">
        <f t="shared" si="20"/>
        <v>Montezuma</v>
      </c>
      <c r="AO390" s="67" t="b">
        <f t="shared" si="21"/>
        <v>1</v>
      </c>
    </row>
    <row r="391" spans="1:41" ht="12" customHeight="1" x14ac:dyDescent="0.2">
      <c r="A391" s="1" t="s">
        <v>555</v>
      </c>
      <c r="C391" s="1" t="s">
        <v>554</v>
      </c>
      <c r="E391" s="48">
        <v>715476</v>
      </c>
      <c r="F391" s="48"/>
      <c r="G391" s="48">
        <v>4251</v>
      </c>
      <c r="H391" s="48"/>
      <c r="I391" s="48">
        <v>0</v>
      </c>
      <c r="J391" s="48"/>
      <c r="K391" s="48">
        <v>0</v>
      </c>
      <c r="L391" s="48"/>
      <c r="M391" s="48">
        <v>313527</v>
      </c>
      <c r="N391" s="48"/>
      <c r="O391" s="48">
        <v>246525</v>
      </c>
      <c r="P391" s="48"/>
      <c r="Q391" s="48">
        <v>226717</v>
      </c>
      <c r="R391" s="48"/>
      <c r="S391" s="48">
        <v>0</v>
      </c>
      <c r="T391" s="48"/>
      <c r="U391" s="48">
        <v>0</v>
      </c>
      <c r="V391" s="48"/>
      <c r="W391" s="48">
        <v>0</v>
      </c>
      <c r="X391" s="48"/>
      <c r="Y391" s="48">
        <v>42492</v>
      </c>
      <c r="Z391" s="48"/>
      <c r="AA391" s="48">
        <v>0</v>
      </c>
      <c r="AB391" s="48"/>
      <c r="AC391" s="48">
        <v>0</v>
      </c>
      <c r="AD391" s="48"/>
      <c r="AE391" s="48">
        <f t="shared" si="23"/>
        <v>1548988</v>
      </c>
      <c r="AF391" s="48"/>
      <c r="AG391" s="59"/>
      <c r="AH391" s="59"/>
      <c r="AI391" s="59"/>
      <c r="AJ391" s="59"/>
      <c r="AK391" s="59"/>
      <c r="AL391" s="8">
        <f>+'Gen Rev'!AI392-'Gen Exp'!AE391+'Gen Exp'!AI391-AK391</f>
        <v>122900</v>
      </c>
      <c r="AM391" s="21" t="str">
        <f>'Gen Rev'!A392</f>
        <v>Montpelier</v>
      </c>
      <c r="AN391" s="67" t="str">
        <f t="shared" si="20"/>
        <v>Montpelier</v>
      </c>
      <c r="AO391" s="67" t="b">
        <f t="shared" si="21"/>
        <v>1</v>
      </c>
    </row>
    <row r="392" spans="1:41" s="67" customFormat="1" ht="12" customHeight="1" x14ac:dyDescent="0.2">
      <c r="A392" s="1" t="s">
        <v>300</v>
      </c>
      <c r="B392" s="1"/>
      <c r="C392" s="1" t="s">
        <v>293</v>
      </c>
      <c r="D392" s="1"/>
      <c r="E392" s="48">
        <v>0</v>
      </c>
      <c r="F392" s="48"/>
      <c r="G392" s="48">
        <v>19816</v>
      </c>
      <c r="H392" s="48"/>
      <c r="I392" s="48">
        <v>0</v>
      </c>
      <c r="J392" s="48"/>
      <c r="K392" s="48">
        <v>80408</v>
      </c>
      <c r="L392" s="48"/>
      <c r="M392" s="48">
        <v>991060</v>
      </c>
      <c r="N392" s="48"/>
      <c r="O392" s="48">
        <v>82898</v>
      </c>
      <c r="P392" s="48"/>
      <c r="Q392" s="48">
        <v>1436070</v>
      </c>
      <c r="R392" s="48"/>
      <c r="S392" s="48">
        <v>0</v>
      </c>
      <c r="T392" s="48"/>
      <c r="U392" s="48">
        <v>0</v>
      </c>
      <c r="V392" s="48"/>
      <c r="W392" s="48">
        <v>0</v>
      </c>
      <c r="X392" s="48"/>
      <c r="Y392" s="48">
        <v>2757500</v>
      </c>
      <c r="Z392" s="48"/>
      <c r="AA392" s="48">
        <v>146300</v>
      </c>
      <c r="AB392" s="48"/>
      <c r="AC392" s="48">
        <v>0</v>
      </c>
      <c r="AD392" s="48"/>
      <c r="AE392" s="48">
        <f t="shared" si="23"/>
        <v>5514052</v>
      </c>
      <c r="AF392" s="48"/>
      <c r="AG392" s="59"/>
      <c r="AH392" s="59"/>
      <c r="AI392" s="59"/>
      <c r="AJ392" s="59"/>
      <c r="AK392" s="59"/>
      <c r="AL392" s="8">
        <f>+'Gen Rev'!AI393-'Gen Exp'!AE392+'Gen Exp'!AI392-AK392</f>
        <v>-655344</v>
      </c>
      <c r="AM392" s="21" t="str">
        <f>'Gen Rev'!A393</f>
        <v>Moreland Hills</v>
      </c>
      <c r="AN392" s="67" t="str">
        <f t="shared" si="20"/>
        <v>Moreland Hills</v>
      </c>
      <c r="AO392" s="67" t="b">
        <f t="shared" si="21"/>
        <v>1</v>
      </c>
    </row>
    <row r="393" spans="1:41" ht="12" customHeight="1" x14ac:dyDescent="0.2">
      <c r="A393" s="1" t="s">
        <v>806</v>
      </c>
      <c r="C393" s="1" t="s">
        <v>430</v>
      </c>
      <c r="E393" s="48">
        <v>6842.74</v>
      </c>
      <c r="F393" s="48"/>
      <c r="G393" s="48">
        <v>1816.02</v>
      </c>
      <c r="H393" s="48"/>
      <c r="I393" s="48">
        <v>0</v>
      </c>
      <c r="J393" s="48"/>
      <c r="K393" s="48">
        <v>275</v>
      </c>
      <c r="L393" s="48"/>
      <c r="M393" s="48">
        <v>0</v>
      </c>
      <c r="N393" s="48"/>
      <c r="O393" s="48">
        <v>0</v>
      </c>
      <c r="P393" s="48"/>
      <c r="Q393" s="48">
        <v>15810.88</v>
      </c>
      <c r="R393" s="48"/>
      <c r="S393" s="48">
        <v>0</v>
      </c>
      <c r="T393" s="48"/>
      <c r="U393" s="48">
        <v>0</v>
      </c>
      <c r="V393" s="48"/>
      <c r="W393" s="48">
        <v>0</v>
      </c>
      <c r="X393" s="48"/>
      <c r="Y393" s="48">
        <v>0</v>
      </c>
      <c r="Z393" s="48"/>
      <c r="AA393" s="48">
        <v>0</v>
      </c>
      <c r="AB393" s="48"/>
      <c r="AC393" s="48">
        <v>0</v>
      </c>
      <c r="AD393" s="48"/>
      <c r="AE393" s="48">
        <f t="shared" si="23"/>
        <v>24744.639999999999</v>
      </c>
      <c r="AG393" s="55">
        <v>-3136.06</v>
      </c>
      <c r="AI393" s="55">
        <v>-6433.06</v>
      </c>
      <c r="AK393" s="55">
        <v>-9569.1200000000008</v>
      </c>
      <c r="AL393" s="8">
        <f>+'Gen Rev'!AI394-'Gen Exp'!AE393+'Gen Exp'!AI393-AK393</f>
        <v>0</v>
      </c>
      <c r="AM393" s="21" t="str">
        <f>'Gen Rev'!A394</f>
        <v>Morral</v>
      </c>
      <c r="AN393" s="67" t="str">
        <f t="shared" si="20"/>
        <v>Morral</v>
      </c>
      <c r="AO393" s="67" t="b">
        <f t="shared" si="21"/>
        <v>1</v>
      </c>
    </row>
    <row r="394" spans="1:41" s="67" customFormat="1" ht="12" customHeight="1" x14ac:dyDescent="0.2">
      <c r="A394" s="1" t="s">
        <v>18</v>
      </c>
      <c r="B394" s="1"/>
      <c r="C394" s="1" t="s">
        <v>261</v>
      </c>
      <c r="D394" s="1"/>
      <c r="E394" s="48">
        <v>8086.18</v>
      </c>
      <c r="F394" s="48"/>
      <c r="G394" s="48">
        <v>1359.53</v>
      </c>
      <c r="H394" s="48"/>
      <c r="I394" s="48">
        <v>0</v>
      </c>
      <c r="J394" s="48"/>
      <c r="K394" s="48">
        <v>0</v>
      </c>
      <c r="L394" s="48"/>
      <c r="M394" s="48">
        <v>0</v>
      </c>
      <c r="N394" s="48"/>
      <c r="O394" s="48">
        <v>2095.23</v>
      </c>
      <c r="P394" s="48"/>
      <c r="Q394" s="48">
        <v>45137.85</v>
      </c>
      <c r="R394" s="48"/>
      <c r="S394" s="48">
        <v>0</v>
      </c>
      <c r="T394" s="48"/>
      <c r="U394" s="48">
        <v>0</v>
      </c>
      <c r="V394" s="48"/>
      <c r="W394" s="48">
        <v>0</v>
      </c>
      <c r="X394" s="48"/>
      <c r="Y394" s="48">
        <v>0</v>
      </c>
      <c r="Z394" s="48"/>
      <c r="AA394" s="48">
        <v>0</v>
      </c>
      <c r="AB394" s="48"/>
      <c r="AC394" s="48">
        <v>66835</v>
      </c>
      <c r="AD394" s="48"/>
      <c r="AE394" s="48">
        <f t="shared" si="23"/>
        <v>123513.79000000001</v>
      </c>
      <c r="AF394" s="1"/>
      <c r="AG394" s="55">
        <v>-92546.63</v>
      </c>
      <c r="AH394" s="55"/>
      <c r="AI394" s="55">
        <v>387236.01</v>
      </c>
      <c r="AJ394" s="55"/>
      <c r="AK394" s="55">
        <v>294689.38</v>
      </c>
      <c r="AL394" s="8">
        <f>+'Gen Rev'!AI395-'Gen Exp'!AE394+'Gen Exp'!AI394-AK394</f>
        <v>0</v>
      </c>
      <c r="AM394" s="21" t="str">
        <f>'Gen Rev'!A395</f>
        <v>Morristown</v>
      </c>
      <c r="AN394" s="67" t="str">
        <f t="shared" si="20"/>
        <v>Morristown</v>
      </c>
      <c r="AO394" s="67" t="b">
        <f t="shared" si="21"/>
        <v>1</v>
      </c>
    </row>
    <row r="395" spans="1:41" ht="12" customHeight="1" x14ac:dyDescent="0.2">
      <c r="A395" s="1" t="s">
        <v>226</v>
      </c>
      <c r="C395" s="1" t="s">
        <v>541</v>
      </c>
      <c r="E395" s="48">
        <v>185250.54</v>
      </c>
      <c r="F395" s="48"/>
      <c r="G395" s="48">
        <v>751.34</v>
      </c>
      <c r="H395" s="48"/>
      <c r="I395" s="48">
        <v>3470.09</v>
      </c>
      <c r="J395" s="48"/>
      <c r="K395" s="48">
        <v>5442.65</v>
      </c>
      <c r="L395" s="48"/>
      <c r="M395" s="48">
        <v>114068.41</v>
      </c>
      <c r="N395" s="48"/>
      <c r="O395" s="48">
        <v>7220</v>
      </c>
      <c r="P395" s="48"/>
      <c r="Q395" s="48">
        <v>280427.28000000003</v>
      </c>
      <c r="R395" s="48"/>
      <c r="S395" s="48">
        <v>13760</v>
      </c>
      <c r="T395" s="48"/>
      <c r="U395" s="48">
        <v>22886.720000000001</v>
      </c>
      <c r="V395" s="48"/>
      <c r="W395" s="48">
        <v>3387.27</v>
      </c>
      <c r="X395" s="48"/>
      <c r="Y395" s="48">
        <v>0</v>
      </c>
      <c r="Z395" s="48"/>
      <c r="AA395" s="48">
        <v>45000</v>
      </c>
      <c r="AB395" s="48"/>
      <c r="AC395" s="48">
        <v>14.79</v>
      </c>
      <c r="AD395" s="48"/>
      <c r="AE395" s="48">
        <f t="shared" si="23"/>
        <v>681679.09000000008</v>
      </c>
      <c r="AG395" s="55">
        <v>-9972.51</v>
      </c>
      <c r="AI395" s="55">
        <v>279973.98</v>
      </c>
      <c r="AK395" s="55">
        <v>270001.46999999997</v>
      </c>
      <c r="AL395" s="8">
        <f>+'Gen Rev'!AI396-'Gen Exp'!AE395+'Gen Exp'!AI395-AK395</f>
        <v>0</v>
      </c>
      <c r="AM395" s="21" t="str">
        <f>'Gen Rev'!A396</f>
        <v>Morrow</v>
      </c>
      <c r="AN395" s="67" t="str">
        <f t="shared" si="20"/>
        <v>Morrow</v>
      </c>
      <c r="AO395" s="67" t="b">
        <f t="shared" si="21"/>
        <v>1</v>
      </c>
    </row>
    <row r="396" spans="1:41" ht="12" customHeight="1" x14ac:dyDescent="0.2"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L396" s="8"/>
      <c r="AM396" s="21"/>
      <c r="AN396" s="67"/>
      <c r="AO396" s="67"/>
    </row>
    <row r="397" spans="1:41" ht="12" customHeight="1" x14ac:dyDescent="0.2"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88" t="s">
        <v>733</v>
      </c>
      <c r="AL397" s="8"/>
      <c r="AM397" s="21"/>
      <c r="AN397" s="67"/>
      <c r="AO397" s="67"/>
    </row>
    <row r="398" spans="1:41" ht="12" customHeight="1" x14ac:dyDescent="0.2"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L398" s="8"/>
      <c r="AM398" s="21"/>
      <c r="AN398" s="67"/>
      <c r="AO398" s="67"/>
    </row>
    <row r="399" spans="1:41" ht="12" customHeight="1" x14ac:dyDescent="0.2">
      <c r="A399" s="1" t="s">
        <v>279</v>
      </c>
      <c r="C399" s="1" t="s">
        <v>277</v>
      </c>
      <c r="E399" s="68">
        <v>55377.9</v>
      </c>
      <c r="F399" s="48"/>
      <c r="G399" s="68">
        <v>9233.44</v>
      </c>
      <c r="H399" s="68"/>
      <c r="I399" s="68">
        <v>191448.21</v>
      </c>
      <c r="J399" s="68"/>
      <c r="K399" s="68">
        <v>3913.8</v>
      </c>
      <c r="L399" s="68"/>
      <c r="M399" s="68">
        <v>24799.91</v>
      </c>
      <c r="N399" s="68"/>
      <c r="O399" s="68">
        <v>5884.92</v>
      </c>
      <c r="P399" s="68"/>
      <c r="Q399" s="68">
        <v>457399.31</v>
      </c>
      <c r="R399" s="68"/>
      <c r="S399" s="68">
        <v>0</v>
      </c>
      <c r="T399" s="68"/>
      <c r="U399" s="68">
        <v>0</v>
      </c>
      <c r="V399" s="68"/>
      <c r="W399" s="68">
        <v>0</v>
      </c>
      <c r="X399" s="68"/>
      <c r="Y399" s="68">
        <v>0</v>
      </c>
      <c r="Z399" s="68"/>
      <c r="AA399" s="68">
        <v>0</v>
      </c>
      <c r="AB399" s="68"/>
      <c r="AC399" s="68">
        <v>0</v>
      </c>
      <c r="AD399" s="68"/>
      <c r="AE399" s="68">
        <f t="shared" si="23"/>
        <v>748057.49</v>
      </c>
      <c r="AG399" s="55">
        <v>-93790.58</v>
      </c>
      <c r="AI399" s="55">
        <v>518118.9</v>
      </c>
      <c r="AK399" s="55">
        <v>424328.32</v>
      </c>
      <c r="AL399" s="8">
        <f>+'Gen Rev'!AI397-'Gen Exp'!AE399+'Gen Exp'!AI399-AK399</f>
        <v>0</v>
      </c>
      <c r="AM399" s="21" t="str">
        <f>'Gen Rev'!A397</f>
        <v>Moscow</v>
      </c>
      <c r="AN399" s="67" t="str">
        <f t="shared" si="20"/>
        <v>Moscow</v>
      </c>
      <c r="AO399" s="67" t="b">
        <f t="shared" si="21"/>
        <v>1</v>
      </c>
    </row>
    <row r="400" spans="1:41" ht="12" customHeight="1" x14ac:dyDescent="0.2">
      <c r="A400" s="1" t="s">
        <v>849</v>
      </c>
      <c r="C400" s="1" t="s">
        <v>360</v>
      </c>
      <c r="E400" s="48">
        <v>0</v>
      </c>
      <c r="F400" s="48"/>
      <c r="G400" s="48">
        <v>0</v>
      </c>
      <c r="H400" s="48"/>
      <c r="I400" s="48">
        <v>0</v>
      </c>
      <c r="J400" s="48"/>
      <c r="K400" s="48">
        <v>4943.5</v>
      </c>
      <c r="L400" s="48"/>
      <c r="M400" s="48">
        <v>705.32</v>
      </c>
      <c r="N400" s="48"/>
      <c r="O400" s="48">
        <v>3991.61</v>
      </c>
      <c r="P400" s="48"/>
      <c r="Q400" s="48">
        <v>52923.65</v>
      </c>
      <c r="R400" s="48"/>
      <c r="S400" s="48">
        <v>919.76</v>
      </c>
      <c r="T400" s="48"/>
      <c r="U400" s="48">
        <v>0</v>
      </c>
      <c r="V400" s="48"/>
      <c r="W400" s="48">
        <v>0</v>
      </c>
      <c r="X400" s="48"/>
      <c r="Y400" s="48">
        <v>0</v>
      </c>
      <c r="Z400" s="48"/>
      <c r="AA400" s="48">
        <v>0</v>
      </c>
      <c r="AB400" s="48"/>
      <c r="AC400" s="48">
        <v>0</v>
      </c>
      <c r="AD400" s="48"/>
      <c r="AE400" s="48">
        <f t="shared" si="23"/>
        <v>63483.840000000004</v>
      </c>
      <c r="AG400" s="55">
        <v>626.85</v>
      </c>
      <c r="AI400" s="55">
        <v>22425.52</v>
      </c>
      <c r="AK400" s="55">
        <v>23052.37</v>
      </c>
      <c r="AL400" s="8">
        <f>+'Gen Rev'!AI398-'Gen Exp'!AE400+'Gen Exp'!AI400-AK400</f>
        <v>0</v>
      </c>
      <c r="AM400" s="21" t="str">
        <f>'Gen Rev'!A398</f>
        <v>Mount Blanchard</v>
      </c>
      <c r="AN400" s="67" t="str">
        <f t="shared" si="20"/>
        <v>Mount Blanchard</v>
      </c>
      <c r="AO400" s="67" t="b">
        <f t="shared" si="21"/>
        <v>1</v>
      </c>
    </row>
    <row r="401" spans="1:41" ht="12" customHeight="1" x14ac:dyDescent="0.2">
      <c r="A401" s="1" t="s">
        <v>232</v>
      </c>
      <c r="C401" s="1" t="s">
        <v>547</v>
      </c>
      <c r="E401" s="48">
        <v>79651.149999999994</v>
      </c>
      <c r="F401" s="48"/>
      <c r="G401" s="48">
        <v>3918.49</v>
      </c>
      <c r="H401" s="48"/>
      <c r="I401" s="48">
        <v>679.46</v>
      </c>
      <c r="J401" s="48"/>
      <c r="K401" s="48">
        <v>0</v>
      </c>
      <c r="L401" s="48"/>
      <c r="M401" s="48">
        <v>0</v>
      </c>
      <c r="N401" s="48"/>
      <c r="O401" s="48">
        <v>0</v>
      </c>
      <c r="P401" s="48"/>
      <c r="Q401" s="48">
        <v>68541.19</v>
      </c>
      <c r="R401" s="48"/>
      <c r="S401" s="48">
        <v>0</v>
      </c>
      <c r="T401" s="48"/>
      <c r="U401" s="48">
        <v>0</v>
      </c>
      <c r="V401" s="48"/>
      <c r="W401" s="48">
        <v>0</v>
      </c>
      <c r="X401" s="48"/>
      <c r="Y401" s="48">
        <v>14000</v>
      </c>
      <c r="Z401" s="48"/>
      <c r="AA401" s="48">
        <v>0</v>
      </c>
      <c r="AB401" s="48"/>
      <c r="AC401" s="48">
        <v>0</v>
      </c>
      <c r="AD401" s="48"/>
      <c r="AE401" s="48">
        <f t="shared" si="23"/>
        <v>166790.29</v>
      </c>
      <c r="AG401" s="55">
        <v>33054.06</v>
      </c>
      <c r="AI401" s="55">
        <v>126354.4</v>
      </c>
      <c r="AK401" s="55">
        <v>159408.46</v>
      </c>
      <c r="AL401" s="8">
        <f>+'Gen Rev'!AI399-'Gen Exp'!AE401+'Gen Exp'!AI401-AK401</f>
        <v>0</v>
      </c>
      <c r="AM401" s="21" t="str">
        <f>'Gen Rev'!A399</f>
        <v>Mount Eaton</v>
      </c>
      <c r="AN401" s="67" t="str">
        <f t="shared" si="20"/>
        <v>Mount Eaton</v>
      </c>
      <c r="AO401" s="67" t="b">
        <f t="shared" si="21"/>
        <v>1</v>
      </c>
    </row>
    <row r="402" spans="1:41" ht="12" customHeight="1" x14ac:dyDescent="0.2">
      <c r="A402" s="1" t="s">
        <v>132</v>
      </c>
      <c r="C402" s="1" t="s">
        <v>401</v>
      </c>
      <c r="E402" s="48">
        <v>265911.15000000002</v>
      </c>
      <c r="F402" s="48"/>
      <c r="G402" s="48">
        <v>0</v>
      </c>
      <c r="H402" s="48"/>
      <c r="I402" s="48">
        <v>11942.33</v>
      </c>
      <c r="J402" s="48"/>
      <c r="K402" s="48">
        <v>184</v>
      </c>
      <c r="L402" s="48"/>
      <c r="M402" s="48">
        <v>0</v>
      </c>
      <c r="N402" s="48"/>
      <c r="O402" s="48">
        <v>12838</v>
      </c>
      <c r="P402" s="48"/>
      <c r="Q402" s="48">
        <v>257084.13</v>
      </c>
      <c r="R402" s="48"/>
      <c r="S402" s="48">
        <v>50000</v>
      </c>
      <c r="T402" s="48"/>
      <c r="U402" s="48">
        <v>0</v>
      </c>
      <c r="V402" s="48"/>
      <c r="W402" s="48">
        <v>0</v>
      </c>
      <c r="X402" s="48"/>
      <c r="Y402" s="48">
        <v>0</v>
      </c>
      <c r="Z402" s="48"/>
      <c r="AA402" s="48">
        <v>5000</v>
      </c>
      <c r="AB402" s="48"/>
      <c r="AC402" s="48">
        <v>322.7</v>
      </c>
      <c r="AD402" s="48"/>
      <c r="AE402" s="48">
        <f t="shared" si="23"/>
        <v>603282.31000000006</v>
      </c>
      <c r="AG402" s="55">
        <v>114065.44</v>
      </c>
      <c r="AI402" s="55">
        <v>149657.1</v>
      </c>
      <c r="AK402" s="55">
        <v>263722.53999999998</v>
      </c>
      <c r="AL402" s="8">
        <f>+'Gen Rev'!AI400-'Gen Exp'!AE402+'Gen Exp'!AI402-AK402</f>
        <v>0</v>
      </c>
      <c r="AM402" s="21" t="str">
        <f>'Gen Rev'!A400</f>
        <v>Mount Sterling</v>
      </c>
      <c r="AN402" s="67" t="str">
        <f t="shared" si="20"/>
        <v>Mount Sterling</v>
      </c>
      <c r="AO402" s="67" t="b">
        <f t="shared" si="21"/>
        <v>1</v>
      </c>
    </row>
    <row r="403" spans="1:41" s="67" customFormat="1" ht="12" customHeight="1" x14ac:dyDescent="0.2">
      <c r="A403" s="1" t="s">
        <v>94</v>
      </c>
      <c r="B403" s="1"/>
      <c r="C403" s="1" t="s">
        <v>366</v>
      </c>
      <c r="D403" s="1"/>
      <c r="E403" s="48">
        <v>156.75</v>
      </c>
      <c r="F403" s="48"/>
      <c r="G403" s="48">
        <v>2570</v>
      </c>
      <c r="H403" s="48"/>
      <c r="I403" s="48">
        <v>7178.83</v>
      </c>
      <c r="J403" s="48"/>
      <c r="K403" s="48">
        <v>1777.4</v>
      </c>
      <c r="L403" s="48"/>
      <c r="M403" s="48">
        <v>0</v>
      </c>
      <c r="N403" s="48"/>
      <c r="O403" s="48">
        <v>0</v>
      </c>
      <c r="P403" s="48"/>
      <c r="Q403" s="48">
        <v>49769.45</v>
      </c>
      <c r="R403" s="48"/>
      <c r="S403" s="48">
        <v>0</v>
      </c>
      <c r="T403" s="48"/>
      <c r="U403" s="48">
        <v>0</v>
      </c>
      <c r="V403" s="48"/>
      <c r="W403" s="48">
        <v>0</v>
      </c>
      <c r="X403" s="48"/>
      <c r="Y403" s="48">
        <v>0</v>
      </c>
      <c r="Z403" s="48"/>
      <c r="AA403" s="48">
        <v>0</v>
      </c>
      <c r="AB403" s="48"/>
      <c r="AC403" s="48">
        <v>0</v>
      </c>
      <c r="AD403" s="48"/>
      <c r="AE403" s="48">
        <f t="shared" si="23"/>
        <v>61452.429999999993</v>
      </c>
      <c r="AF403" s="1"/>
      <c r="AG403" s="55">
        <v>2851.38</v>
      </c>
      <c r="AH403" s="55"/>
      <c r="AI403" s="55">
        <v>36691.78</v>
      </c>
      <c r="AJ403" s="55"/>
      <c r="AK403" s="55">
        <v>39543.160000000003</v>
      </c>
      <c r="AL403" s="8">
        <f>+'Gen Rev'!AI401-'Gen Exp'!AE403+'Gen Exp'!AI403-AK403</f>
        <v>0</v>
      </c>
      <c r="AM403" s="21" t="str">
        <f>'Gen Rev'!A401</f>
        <v>Mount Victory</v>
      </c>
      <c r="AN403" s="67" t="str">
        <f t="shared" si="20"/>
        <v>Mount Victory</v>
      </c>
      <c r="AO403" s="67" t="b">
        <f t="shared" si="21"/>
        <v>1</v>
      </c>
    </row>
    <row r="404" spans="1:41" s="67" customFormat="1" ht="12" customHeight="1" x14ac:dyDescent="0.2">
      <c r="A404" s="1" t="s">
        <v>380</v>
      </c>
      <c r="B404" s="1"/>
      <c r="C404" s="1" t="s">
        <v>379</v>
      </c>
      <c r="D404" s="1"/>
      <c r="E404" s="48">
        <v>0</v>
      </c>
      <c r="F404" s="48"/>
      <c r="G404" s="48">
        <v>0</v>
      </c>
      <c r="H404" s="48"/>
      <c r="I404" s="48">
        <v>5194.68</v>
      </c>
      <c r="J404" s="48"/>
      <c r="K404" s="48">
        <v>0</v>
      </c>
      <c r="L404" s="48"/>
      <c r="M404" s="48">
        <v>21374.13</v>
      </c>
      <c r="N404" s="48"/>
      <c r="O404" s="48">
        <v>0</v>
      </c>
      <c r="P404" s="48"/>
      <c r="Q404" s="48">
        <v>29946.04</v>
      </c>
      <c r="R404" s="48"/>
      <c r="S404" s="48">
        <v>0</v>
      </c>
      <c r="T404" s="48"/>
      <c r="U404" s="48">
        <v>0</v>
      </c>
      <c r="V404" s="48"/>
      <c r="W404" s="48">
        <v>0</v>
      </c>
      <c r="X404" s="48"/>
      <c r="Y404" s="48">
        <v>0</v>
      </c>
      <c r="Z404" s="48"/>
      <c r="AA404" s="48">
        <v>0</v>
      </c>
      <c r="AB404" s="48"/>
      <c r="AC404" s="48">
        <v>0</v>
      </c>
      <c r="AD404" s="48"/>
      <c r="AE404" s="48">
        <f t="shared" si="23"/>
        <v>56514.850000000006</v>
      </c>
      <c r="AF404" s="1"/>
      <c r="AG404" s="55">
        <v>-7511.95</v>
      </c>
      <c r="AH404" s="55"/>
      <c r="AI404" s="55">
        <v>8414.1</v>
      </c>
      <c r="AJ404" s="55"/>
      <c r="AK404" s="55">
        <v>902.15</v>
      </c>
      <c r="AL404" s="8">
        <f>+'Gen Rev'!AI402-'Gen Exp'!AE404+'Gen Exp'!AI404-AK404</f>
        <v>-1.1254996934439987E-11</v>
      </c>
      <c r="AM404" s="21" t="str">
        <f>'Gen Rev'!A402</f>
        <v>Mowrystown</v>
      </c>
      <c r="AN404" s="67" t="str">
        <f t="shared" si="20"/>
        <v>Mowrystown</v>
      </c>
      <c r="AO404" s="67" t="b">
        <f t="shared" si="21"/>
        <v>1</v>
      </c>
    </row>
    <row r="405" spans="1:41" ht="12" customHeight="1" x14ac:dyDescent="0.2">
      <c r="A405" s="1" t="s">
        <v>833</v>
      </c>
      <c r="C405" s="1" t="s">
        <v>226</v>
      </c>
      <c r="E405" s="48">
        <v>525825</v>
      </c>
      <c r="F405" s="48"/>
      <c r="G405" s="48">
        <v>4029</v>
      </c>
      <c r="H405" s="48"/>
      <c r="I405" s="48">
        <v>0</v>
      </c>
      <c r="J405" s="48"/>
      <c r="K405" s="48">
        <v>0</v>
      </c>
      <c r="L405" s="48"/>
      <c r="M405" s="48">
        <v>12727</v>
      </c>
      <c r="N405" s="48"/>
      <c r="O405" s="48">
        <v>0</v>
      </c>
      <c r="P405" s="48"/>
      <c r="Q405" s="48">
        <f>126204+143125</f>
        <v>269329</v>
      </c>
      <c r="R405" s="48"/>
      <c r="S405" s="48">
        <v>0</v>
      </c>
      <c r="T405" s="48"/>
      <c r="U405" s="48">
        <v>0</v>
      </c>
      <c r="V405" s="48"/>
      <c r="W405" s="48">
        <v>0</v>
      </c>
      <c r="X405" s="48"/>
      <c r="Y405" s="48">
        <v>277700</v>
      </c>
      <c r="Z405" s="48"/>
      <c r="AA405" s="48">
        <v>0</v>
      </c>
      <c r="AB405" s="48"/>
      <c r="AC405" s="48">
        <v>0</v>
      </c>
      <c r="AD405" s="48"/>
      <c r="AE405" s="48">
        <f t="shared" si="23"/>
        <v>1089610</v>
      </c>
      <c r="AF405" s="48"/>
      <c r="AG405" s="59"/>
      <c r="AH405" s="59"/>
      <c r="AI405" s="59"/>
      <c r="AJ405" s="59"/>
      <c r="AK405" s="59"/>
      <c r="AL405" s="8">
        <f>+'Gen Rev'!AI403-'Gen Exp'!AE405+'Gen Exp'!AI405-AK405</f>
        <v>8253</v>
      </c>
      <c r="AM405" s="21" t="str">
        <f>'Gen Rev'!A403</f>
        <v>Mt. Gilead</v>
      </c>
      <c r="AN405" s="67" t="str">
        <f t="shared" si="20"/>
        <v>Mt. Gilead</v>
      </c>
      <c r="AO405" s="67" t="b">
        <f t="shared" si="21"/>
        <v>1</v>
      </c>
    </row>
    <row r="406" spans="1:41" ht="12" customHeight="1" x14ac:dyDescent="0.2">
      <c r="A406" s="1" t="s">
        <v>24</v>
      </c>
      <c r="C406" s="1" t="s">
        <v>265</v>
      </c>
      <c r="E406" s="48">
        <v>815096.03</v>
      </c>
      <c r="F406" s="48"/>
      <c r="G406" s="48">
        <v>9538.16</v>
      </c>
      <c r="H406" s="48"/>
      <c r="I406" s="48">
        <v>31824.59</v>
      </c>
      <c r="J406" s="48"/>
      <c r="K406" s="48">
        <v>55055.74</v>
      </c>
      <c r="L406" s="48"/>
      <c r="M406" s="48">
        <v>0</v>
      </c>
      <c r="N406" s="48"/>
      <c r="O406" s="48">
        <v>161750.28</v>
      </c>
      <c r="P406" s="48"/>
      <c r="Q406" s="48">
        <v>285836.55</v>
      </c>
      <c r="R406" s="48"/>
      <c r="S406" s="48">
        <v>0</v>
      </c>
      <c r="T406" s="48"/>
      <c r="U406" s="48">
        <v>21647.48</v>
      </c>
      <c r="V406" s="48"/>
      <c r="W406" s="48">
        <v>0</v>
      </c>
      <c r="X406" s="48"/>
      <c r="Y406" s="48">
        <v>0</v>
      </c>
      <c r="Z406" s="48"/>
      <c r="AA406" s="48">
        <v>0</v>
      </c>
      <c r="AB406" s="48"/>
      <c r="AC406" s="48">
        <v>9058.68</v>
      </c>
      <c r="AD406" s="48"/>
      <c r="AE406" s="48">
        <f t="shared" si="23"/>
        <v>1389807.51</v>
      </c>
      <c r="AG406" s="55">
        <v>-111506.62</v>
      </c>
      <c r="AI406" s="55">
        <v>256622.57</v>
      </c>
      <c r="AK406" s="55">
        <v>145115.95000000001</v>
      </c>
      <c r="AL406" s="8">
        <f>+'Gen Rev'!AI404-'Gen Exp'!AE406+'Gen Exp'!AI406-AK406</f>
        <v>0</v>
      </c>
      <c r="AM406" s="21" t="str">
        <f>'Gen Rev'!A404</f>
        <v>Mt. Orab</v>
      </c>
      <c r="AN406" s="67" t="str">
        <f t="shared" si="20"/>
        <v>Mt. Orab</v>
      </c>
      <c r="AO406" s="67" t="b">
        <f t="shared" si="21"/>
        <v>1</v>
      </c>
    </row>
    <row r="407" spans="1:41" s="67" customFormat="1" ht="12" customHeight="1" x14ac:dyDescent="0.2">
      <c r="A407" s="1" t="s">
        <v>107</v>
      </c>
      <c r="B407" s="1"/>
      <c r="C407" s="1" t="s">
        <v>790</v>
      </c>
      <c r="D407" s="1"/>
      <c r="E407" s="48">
        <v>30938.959999999999</v>
      </c>
      <c r="F407" s="48"/>
      <c r="G407" s="48">
        <v>0</v>
      </c>
      <c r="H407" s="48"/>
      <c r="I407" s="48">
        <v>0</v>
      </c>
      <c r="J407" s="48"/>
      <c r="K407" s="48">
        <v>0</v>
      </c>
      <c r="L407" s="48"/>
      <c r="M407" s="48">
        <v>0</v>
      </c>
      <c r="N407" s="48"/>
      <c r="O407" s="48">
        <v>0</v>
      </c>
      <c r="P407" s="48"/>
      <c r="Q407" s="48">
        <v>62322.239999999998</v>
      </c>
      <c r="R407" s="48"/>
      <c r="S407" s="48">
        <v>2273.1999999999998</v>
      </c>
      <c r="T407" s="48"/>
      <c r="U407" s="48">
        <v>0</v>
      </c>
      <c r="V407" s="48"/>
      <c r="W407" s="48">
        <v>0</v>
      </c>
      <c r="X407" s="48"/>
      <c r="Y407" s="48">
        <v>0</v>
      </c>
      <c r="Z407" s="48"/>
      <c r="AA407" s="48">
        <v>0</v>
      </c>
      <c r="AB407" s="48"/>
      <c r="AC407" s="48">
        <v>0</v>
      </c>
      <c r="AD407" s="48"/>
      <c r="AE407" s="48">
        <f t="shared" si="23"/>
        <v>95534.399999999994</v>
      </c>
      <c r="AF407" s="1"/>
      <c r="AG407" s="55">
        <v>-30114.98</v>
      </c>
      <c r="AH407" s="55"/>
      <c r="AI407" s="55">
        <v>35618.99</v>
      </c>
      <c r="AJ407" s="55"/>
      <c r="AK407" s="55">
        <v>5504.01</v>
      </c>
      <c r="AL407" s="8">
        <f>+'Gen Rev'!AI405-'Gen Exp'!AE407+'Gen Exp'!AI407-AK407</f>
        <v>0</v>
      </c>
      <c r="AM407" s="21" t="str">
        <f>'Gen Rev'!A405</f>
        <v>Murray City</v>
      </c>
      <c r="AN407" s="67" t="str">
        <f t="shared" si="20"/>
        <v>Murray City</v>
      </c>
      <c r="AO407" s="67" t="b">
        <f t="shared" si="21"/>
        <v>1</v>
      </c>
    </row>
    <row r="408" spans="1:41" ht="12" customHeight="1" x14ac:dyDescent="0.2">
      <c r="A408" s="1" t="s">
        <v>270</v>
      </c>
      <c r="C408" s="1" t="s">
        <v>269</v>
      </c>
      <c r="E408" s="48">
        <v>2336.88</v>
      </c>
      <c r="F408" s="48"/>
      <c r="G408" s="48">
        <v>0</v>
      </c>
      <c r="H408" s="48"/>
      <c r="I408" s="48">
        <v>0</v>
      </c>
      <c r="J408" s="48"/>
      <c r="K408" s="48">
        <v>0</v>
      </c>
      <c r="L408" s="48"/>
      <c r="M408" s="48">
        <v>0</v>
      </c>
      <c r="N408" s="48"/>
      <c r="O408" s="48">
        <v>0</v>
      </c>
      <c r="P408" s="48"/>
      <c r="Q408" s="48">
        <v>4845.24</v>
      </c>
      <c r="R408" s="48"/>
      <c r="S408" s="48">
        <v>0</v>
      </c>
      <c r="T408" s="48"/>
      <c r="U408" s="48">
        <v>0</v>
      </c>
      <c r="V408" s="48"/>
      <c r="W408" s="48">
        <v>0</v>
      </c>
      <c r="X408" s="48"/>
      <c r="Y408" s="48">
        <v>0</v>
      </c>
      <c r="Z408" s="48"/>
      <c r="AA408" s="48">
        <v>0</v>
      </c>
      <c r="AB408" s="48"/>
      <c r="AC408" s="48">
        <v>0</v>
      </c>
      <c r="AD408" s="48"/>
      <c r="AE408" s="48">
        <f t="shared" si="23"/>
        <v>7182.12</v>
      </c>
      <c r="AG408" s="55">
        <v>-2003.95</v>
      </c>
      <c r="AI408" s="55">
        <v>13720.99</v>
      </c>
      <c r="AK408" s="55">
        <v>11717.04</v>
      </c>
      <c r="AL408" s="8">
        <f>+'Gen Rev'!AI406-'Gen Exp'!AE408+'Gen Exp'!AI408-AK408</f>
        <v>0</v>
      </c>
      <c r="AM408" s="21" t="str">
        <f>'Gen Rev'!A406</f>
        <v>Mutual</v>
      </c>
      <c r="AN408" s="67" t="str">
        <f t="shared" si="20"/>
        <v>Mutual</v>
      </c>
      <c r="AO408" s="67" t="b">
        <f t="shared" si="21"/>
        <v>1</v>
      </c>
    </row>
    <row r="409" spans="1:41" s="67" customFormat="1" ht="12" customHeight="1" x14ac:dyDescent="0.2">
      <c r="A409" s="1" t="s">
        <v>508</v>
      </c>
      <c r="B409" s="1"/>
      <c r="C409" s="1" t="s">
        <v>502</v>
      </c>
      <c r="D409" s="1"/>
      <c r="E409" s="48">
        <v>477690</v>
      </c>
      <c r="F409" s="48"/>
      <c r="G409" s="48">
        <v>8044</v>
      </c>
      <c r="H409" s="48"/>
      <c r="I409" s="48">
        <v>16607</v>
      </c>
      <c r="J409" s="48"/>
      <c r="K409" s="48">
        <v>4244</v>
      </c>
      <c r="L409" s="48"/>
      <c r="M409" s="48">
        <v>1250</v>
      </c>
      <c r="N409" s="48"/>
      <c r="O409" s="48">
        <v>0</v>
      </c>
      <c r="P409" s="48"/>
      <c r="Q409" s="48">
        <v>167316</v>
      </c>
      <c r="R409" s="48"/>
      <c r="S409" s="48">
        <v>0</v>
      </c>
      <c r="T409" s="48"/>
      <c r="U409" s="48">
        <v>0</v>
      </c>
      <c r="V409" s="48"/>
      <c r="W409" s="48">
        <v>0</v>
      </c>
      <c r="X409" s="48"/>
      <c r="Y409" s="48">
        <v>0</v>
      </c>
      <c r="Z409" s="48"/>
      <c r="AA409" s="48">
        <v>0</v>
      </c>
      <c r="AB409" s="48"/>
      <c r="AC409" s="48">
        <v>0</v>
      </c>
      <c r="AD409" s="48"/>
      <c r="AE409" s="48">
        <f t="shared" si="23"/>
        <v>675151</v>
      </c>
      <c r="AF409" s="48"/>
      <c r="AG409" s="59"/>
      <c r="AH409" s="59"/>
      <c r="AI409" s="59"/>
      <c r="AJ409" s="59"/>
      <c r="AK409" s="59"/>
      <c r="AL409" s="8">
        <f>+'Gen Rev'!AI407-'Gen Exp'!AE409+'Gen Exp'!AI409-AK409</f>
        <v>116037</v>
      </c>
      <c r="AM409" s="21" t="str">
        <f>'Gen Rev'!A407</f>
        <v>Navarre</v>
      </c>
      <c r="AN409" s="67" t="str">
        <f t="shared" si="20"/>
        <v>Navarre</v>
      </c>
      <c r="AO409" s="67" t="b">
        <f t="shared" si="21"/>
        <v>1</v>
      </c>
    </row>
    <row r="410" spans="1:41" ht="12" customHeight="1" x14ac:dyDescent="0.2">
      <c r="A410" s="1" t="s">
        <v>286</v>
      </c>
      <c r="C410" s="1" t="s">
        <v>285</v>
      </c>
      <c r="E410" s="48">
        <v>329</v>
      </c>
      <c r="F410" s="48"/>
      <c r="G410" s="48">
        <v>0</v>
      </c>
      <c r="H410" s="48"/>
      <c r="I410" s="48">
        <v>0</v>
      </c>
      <c r="J410" s="48"/>
      <c r="K410" s="48">
        <v>0</v>
      </c>
      <c r="L410" s="48"/>
      <c r="M410" s="48">
        <v>445</v>
      </c>
      <c r="N410" s="48"/>
      <c r="O410" s="48">
        <v>0</v>
      </c>
      <c r="P410" s="48"/>
      <c r="Q410" s="48">
        <v>8614</v>
      </c>
      <c r="R410" s="48"/>
      <c r="S410" s="48">
        <v>0</v>
      </c>
      <c r="T410" s="48"/>
      <c r="U410" s="48">
        <v>0</v>
      </c>
      <c r="V410" s="48"/>
      <c r="W410" s="48">
        <v>0</v>
      </c>
      <c r="X410" s="48"/>
      <c r="Y410" s="48">
        <v>0</v>
      </c>
      <c r="Z410" s="48"/>
      <c r="AA410" s="48">
        <v>0</v>
      </c>
      <c r="AB410" s="48"/>
      <c r="AC410" s="48">
        <v>0</v>
      </c>
      <c r="AD410" s="48"/>
      <c r="AE410" s="48">
        <f t="shared" si="23"/>
        <v>9388</v>
      </c>
      <c r="AF410" s="48"/>
      <c r="AG410" s="59"/>
      <c r="AH410" s="59"/>
      <c r="AI410" s="59"/>
      <c r="AJ410" s="59"/>
      <c r="AK410" s="59"/>
      <c r="AL410" s="8">
        <f>+'Gen Rev'!AI411-'Gen Exp'!AE410+'Gen Exp'!AI410-AK410</f>
        <v>6737</v>
      </c>
      <c r="AM410" s="21" t="str">
        <f>'Gen Rev'!A411</f>
        <v>Nellie</v>
      </c>
      <c r="AN410" s="67" t="str">
        <f t="shared" si="20"/>
        <v>Nellie</v>
      </c>
      <c r="AO410" s="67" t="b">
        <f t="shared" si="21"/>
        <v>1</v>
      </c>
    </row>
    <row r="411" spans="1:41" s="66" customFormat="1" ht="12" customHeight="1" x14ac:dyDescent="0.2">
      <c r="A411" s="1" t="s">
        <v>567</v>
      </c>
      <c r="B411" s="1"/>
      <c r="C411" s="1" t="s">
        <v>566</v>
      </c>
      <c r="D411" s="1"/>
      <c r="E411" s="48">
        <v>0</v>
      </c>
      <c r="F411" s="48"/>
      <c r="G411" s="48">
        <v>2727</v>
      </c>
      <c r="H411" s="48"/>
      <c r="I411" s="48">
        <v>1516</v>
      </c>
      <c r="J411" s="48"/>
      <c r="K411" s="48">
        <v>434</v>
      </c>
      <c r="L411" s="48"/>
      <c r="M411" s="48">
        <v>390</v>
      </c>
      <c r="N411" s="48"/>
      <c r="O411" s="48">
        <v>0</v>
      </c>
      <c r="P411" s="48"/>
      <c r="Q411" s="48">
        <v>32656</v>
      </c>
      <c r="R411" s="48"/>
      <c r="S411" s="48">
        <v>0</v>
      </c>
      <c r="T411" s="48"/>
      <c r="U411" s="48">
        <v>0</v>
      </c>
      <c r="V411" s="48"/>
      <c r="W411" s="48">
        <v>0</v>
      </c>
      <c r="X411" s="48"/>
      <c r="Y411" s="48">
        <v>0</v>
      </c>
      <c r="Z411" s="48"/>
      <c r="AA411" s="48">
        <v>0</v>
      </c>
      <c r="AB411" s="48"/>
      <c r="AC411" s="48">
        <v>0</v>
      </c>
      <c r="AD411" s="48"/>
      <c r="AE411" s="48">
        <f t="shared" si="23"/>
        <v>37723</v>
      </c>
      <c r="AF411" s="48"/>
      <c r="AG411" s="59"/>
      <c r="AH411" s="59"/>
      <c r="AI411" s="59"/>
      <c r="AJ411" s="59"/>
      <c r="AK411" s="59"/>
      <c r="AL411" s="8">
        <f>+'Gen Rev'!AI412-'Gen Exp'!AE411+'Gen Exp'!AI411-AK411</f>
        <v>35125</v>
      </c>
      <c r="AM411" s="21" t="str">
        <f>'Gen Rev'!A412</f>
        <v>Nevada</v>
      </c>
      <c r="AN411" s="67" t="str">
        <f t="shared" si="20"/>
        <v>Nevada</v>
      </c>
      <c r="AO411" s="67" t="b">
        <f t="shared" si="21"/>
        <v>1</v>
      </c>
    </row>
    <row r="412" spans="1:41" s="67" customFormat="1" ht="12" customHeight="1" x14ac:dyDescent="0.2">
      <c r="A412" s="1" t="s">
        <v>36</v>
      </c>
      <c r="B412" s="1"/>
      <c r="C412" s="1" t="s">
        <v>277</v>
      </c>
      <c r="D412" s="1"/>
      <c r="E412" s="48">
        <v>2923.34</v>
      </c>
      <c r="F412" s="48"/>
      <c r="G412" s="48">
        <v>0</v>
      </c>
      <c r="H412" s="48"/>
      <c r="I412" s="48">
        <v>0</v>
      </c>
      <c r="J412" s="48"/>
      <c r="K412" s="48">
        <v>323.01</v>
      </c>
      <c r="L412" s="48"/>
      <c r="M412" s="48">
        <v>1479</v>
      </c>
      <c r="N412" s="48"/>
      <c r="O412" s="48">
        <v>0</v>
      </c>
      <c r="P412" s="48"/>
      <c r="Q412" s="48">
        <v>8949.16</v>
      </c>
      <c r="R412" s="48"/>
      <c r="S412" s="48">
        <v>0</v>
      </c>
      <c r="T412" s="48"/>
      <c r="U412" s="48">
        <v>0</v>
      </c>
      <c r="V412" s="48"/>
      <c r="W412" s="48">
        <v>0</v>
      </c>
      <c r="X412" s="48"/>
      <c r="Y412" s="48">
        <v>0</v>
      </c>
      <c r="Z412" s="48"/>
      <c r="AA412" s="48">
        <v>0</v>
      </c>
      <c r="AB412" s="48"/>
      <c r="AC412" s="48">
        <v>0</v>
      </c>
      <c r="AD412" s="48"/>
      <c r="AE412" s="48">
        <f t="shared" si="23"/>
        <v>13674.51</v>
      </c>
      <c r="AF412" s="1"/>
      <c r="AG412" s="55">
        <v>3199.32</v>
      </c>
      <c r="AH412" s="55"/>
      <c r="AI412" s="55">
        <v>2896.92</v>
      </c>
      <c r="AJ412" s="55"/>
      <c r="AK412" s="55">
        <v>6096.24</v>
      </c>
      <c r="AL412" s="8">
        <f>+'Gen Rev'!AI413-'Gen Exp'!AE412+'Gen Exp'!AI412-AK412</f>
        <v>0</v>
      </c>
      <c r="AM412" s="21" t="str">
        <f>'Gen Rev'!A413</f>
        <v>Neville</v>
      </c>
      <c r="AN412" s="67" t="str">
        <f t="shared" ref="AN412:AN478" si="24">A412</f>
        <v>Neville</v>
      </c>
      <c r="AO412" s="67" t="b">
        <f t="shared" ref="AO412:AO478" si="25">AM412=AN412</f>
        <v>1</v>
      </c>
    </row>
    <row r="413" spans="1:41" s="67" customFormat="1" ht="12" customHeight="1" x14ac:dyDescent="0.2">
      <c r="A413" s="1" t="s">
        <v>847</v>
      </c>
      <c r="B413" s="1"/>
      <c r="C413" s="1" t="s">
        <v>390</v>
      </c>
      <c r="E413" s="48">
        <v>7874</v>
      </c>
      <c r="F413" s="48"/>
      <c r="G413" s="48">
        <v>70</v>
      </c>
      <c r="H413" s="48"/>
      <c r="I413" s="48">
        <v>289</v>
      </c>
      <c r="J413" s="48"/>
      <c r="K413" s="48">
        <v>58</v>
      </c>
      <c r="L413" s="48"/>
      <c r="M413" s="48">
        <v>2070</v>
      </c>
      <c r="N413" s="48"/>
      <c r="O413" s="48">
        <v>0</v>
      </c>
      <c r="P413" s="48"/>
      <c r="Q413" s="48">
        <v>23707</v>
      </c>
      <c r="R413" s="48"/>
      <c r="S413" s="48">
        <v>0</v>
      </c>
      <c r="T413" s="48"/>
      <c r="U413" s="48">
        <v>0</v>
      </c>
      <c r="V413" s="48"/>
      <c r="W413" s="48">
        <v>0</v>
      </c>
      <c r="X413" s="48"/>
      <c r="Y413" s="48">
        <v>0</v>
      </c>
      <c r="Z413" s="48"/>
      <c r="AA413" s="48">
        <v>0</v>
      </c>
      <c r="AB413" s="48"/>
      <c r="AC413" s="48">
        <v>0</v>
      </c>
      <c r="AD413" s="48"/>
      <c r="AE413" s="48">
        <f t="shared" si="23"/>
        <v>34068</v>
      </c>
      <c r="AF413" s="48"/>
      <c r="AG413" s="59"/>
      <c r="AH413" s="59"/>
      <c r="AI413" s="59"/>
      <c r="AJ413" s="59"/>
      <c r="AK413" s="59"/>
      <c r="AL413" s="8">
        <f>+'Gen Rev'!AI414-'Gen Exp'!AE413+'Gen Exp'!AI413-AK413</f>
        <v>-11636</v>
      </c>
      <c r="AM413" s="21" t="str">
        <f>'Gen Rev'!A414</f>
        <v>New Alexandria</v>
      </c>
      <c r="AN413" s="67" t="str">
        <f t="shared" si="24"/>
        <v>New Alexandria</v>
      </c>
      <c r="AO413" s="67" t="b">
        <f t="shared" si="25"/>
        <v>1</v>
      </c>
    </row>
    <row r="414" spans="1:41" ht="12" customHeight="1" x14ac:dyDescent="0.2">
      <c r="A414" s="1" t="s">
        <v>98</v>
      </c>
      <c r="C414" s="1" t="s">
        <v>373</v>
      </c>
      <c r="E414" s="48">
        <v>13854.29</v>
      </c>
      <c r="F414" s="48"/>
      <c r="G414" s="48">
        <v>0</v>
      </c>
      <c r="H414" s="48"/>
      <c r="I414" s="48">
        <v>0</v>
      </c>
      <c r="J414" s="48"/>
      <c r="K414" s="48">
        <v>0</v>
      </c>
      <c r="L414" s="48"/>
      <c r="M414" s="48">
        <v>0</v>
      </c>
      <c r="N414" s="48"/>
      <c r="O414" s="48">
        <v>0</v>
      </c>
      <c r="P414" s="48"/>
      <c r="Q414" s="48">
        <v>16758.04</v>
      </c>
      <c r="R414" s="48"/>
      <c r="S414" s="48">
        <v>0</v>
      </c>
      <c r="T414" s="48"/>
      <c r="U414" s="48">
        <v>0</v>
      </c>
      <c r="V414" s="48"/>
      <c r="W414" s="48">
        <v>0</v>
      </c>
      <c r="X414" s="48"/>
      <c r="Y414" s="48">
        <v>0</v>
      </c>
      <c r="Z414" s="48"/>
      <c r="AA414" s="48">
        <v>0</v>
      </c>
      <c r="AB414" s="48"/>
      <c r="AC414" s="48">
        <v>16233.51</v>
      </c>
      <c r="AD414" s="48"/>
      <c r="AE414" s="48">
        <f t="shared" si="23"/>
        <v>46845.840000000004</v>
      </c>
      <c r="AG414" s="55">
        <v>-4042.57</v>
      </c>
      <c r="AI414" s="55">
        <v>9072.92</v>
      </c>
      <c r="AK414" s="55">
        <v>5030.3500000000004</v>
      </c>
      <c r="AL414" s="8">
        <f>+'Gen Rev'!AI415-'Gen Exp'!AE414+'Gen Exp'!AI414-AK414</f>
        <v>-7.2759576141834259E-12</v>
      </c>
      <c r="AM414" s="21" t="str">
        <f>'Gen Rev'!A415</f>
        <v>New Athens</v>
      </c>
      <c r="AN414" s="67" t="str">
        <f t="shared" si="24"/>
        <v>New Athens</v>
      </c>
      <c r="AO414" s="67" t="b">
        <f t="shared" si="25"/>
        <v>1</v>
      </c>
    </row>
    <row r="415" spans="1:41" ht="12" customHeight="1" x14ac:dyDescent="0.2">
      <c r="A415" s="1" t="s">
        <v>104</v>
      </c>
      <c r="C415" s="1" t="s">
        <v>377</v>
      </c>
      <c r="E415" s="48">
        <v>3160.03</v>
      </c>
      <c r="F415" s="48"/>
      <c r="G415" s="48">
        <v>0</v>
      </c>
      <c r="H415" s="48"/>
      <c r="I415" s="48">
        <v>1251.1199999999999</v>
      </c>
      <c r="J415" s="48"/>
      <c r="K415" s="48">
        <v>0</v>
      </c>
      <c r="L415" s="48"/>
      <c r="M415" s="48">
        <v>0</v>
      </c>
      <c r="N415" s="48"/>
      <c r="O415" s="48">
        <v>0</v>
      </c>
      <c r="P415" s="48"/>
      <c r="Q415" s="48">
        <v>8215.48</v>
      </c>
      <c r="R415" s="48"/>
      <c r="S415" s="48">
        <v>0</v>
      </c>
      <c r="T415" s="48"/>
      <c r="U415" s="48">
        <v>0</v>
      </c>
      <c r="V415" s="48"/>
      <c r="W415" s="48">
        <v>0</v>
      </c>
      <c r="X415" s="48"/>
      <c r="Y415" s="48">
        <v>0</v>
      </c>
      <c r="Z415" s="48"/>
      <c r="AA415" s="48">
        <v>0</v>
      </c>
      <c r="AB415" s="48"/>
      <c r="AC415" s="48">
        <v>0</v>
      </c>
      <c r="AD415" s="48"/>
      <c r="AE415" s="48">
        <f t="shared" si="23"/>
        <v>12626.63</v>
      </c>
      <c r="AG415" s="55">
        <v>18676.62</v>
      </c>
      <c r="AI415" s="55">
        <v>-9815.11</v>
      </c>
      <c r="AK415" s="55">
        <v>8861.51</v>
      </c>
      <c r="AL415" s="8">
        <f>+'Gen Rev'!AI416-'Gen Exp'!AE415+'Gen Exp'!AI415-AK415</f>
        <v>0</v>
      </c>
      <c r="AM415" s="21" t="str">
        <f>'Gen Rev'!A416</f>
        <v>New Bavaria</v>
      </c>
      <c r="AN415" s="67" t="str">
        <f t="shared" si="24"/>
        <v>New Bavaria</v>
      </c>
      <c r="AO415" s="67" t="b">
        <f t="shared" si="25"/>
        <v>1</v>
      </c>
    </row>
    <row r="416" spans="1:41" ht="12" customHeight="1" x14ac:dyDescent="0.2">
      <c r="A416" s="1" t="s">
        <v>139</v>
      </c>
      <c r="C416" s="1" t="s">
        <v>430</v>
      </c>
      <c r="E416" s="48">
        <v>5219</v>
      </c>
      <c r="F416" s="48"/>
      <c r="G416" s="48">
        <v>0</v>
      </c>
      <c r="H416" s="48"/>
      <c r="I416" s="48">
        <v>0</v>
      </c>
      <c r="J416" s="48"/>
      <c r="K416" s="48">
        <v>0</v>
      </c>
      <c r="L416" s="48"/>
      <c r="M416" s="48">
        <v>0</v>
      </c>
      <c r="N416" s="48"/>
      <c r="O416" s="48">
        <v>0</v>
      </c>
      <c r="P416" s="48"/>
      <c r="Q416" s="48">
        <v>32917.620000000003</v>
      </c>
      <c r="R416" s="48"/>
      <c r="S416" s="48">
        <v>0</v>
      </c>
      <c r="T416" s="48"/>
      <c r="U416" s="48">
        <v>0</v>
      </c>
      <c r="V416" s="48"/>
      <c r="W416" s="48">
        <v>0</v>
      </c>
      <c r="X416" s="48"/>
      <c r="Y416" s="48">
        <v>16160</v>
      </c>
      <c r="Z416" s="48"/>
      <c r="AA416" s="48">
        <v>0</v>
      </c>
      <c r="AB416" s="48"/>
      <c r="AC416" s="48">
        <v>0</v>
      </c>
      <c r="AD416" s="48"/>
      <c r="AE416" s="48">
        <f t="shared" si="23"/>
        <v>54296.62</v>
      </c>
      <c r="AG416" s="55">
        <v>-13396.96</v>
      </c>
      <c r="AI416" s="55">
        <v>83864.31</v>
      </c>
      <c r="AK416" s="55">
        <v>70467.350000000006</v>
      </c>
      <c r="AL416" s="8">
        <f>+'Gen Rev'!AI417-'Gen Exp'!AE416+'Gen Exp'!AI416-AK416</f>
        <v>0</v>
      </c>
      <c r="AM416" s="21" t="str">
        <f>'Gen Rev'!A417</f>
        <v>New Bloomington</v>
      </c>
      <c r="AN416" s="67" t="str">
        <f t="shared" si="24"/>
        <v>New Bloomington</v>
      </c>
      <c r="AO416" s="67" t="b">
        <f t="shared" si="25"/>
        <v>1</v>
      </c>
    </row>
    <row r="417" spans="1:41" ht="12" customHeight="1" x14ac:dyDescent="0.2">
      <c r="A417" s="1" t="s">
        <v>490</v>
      </c>
      <c r="C417" s="1" t="s">
        <v>491</v>
      </c>
      <c r="E417" s="48">
        <v>461280.22</v>
      </c>
      <c r="F417" s="48"/>
      <c r="G417" s="48">
        <v>19351.62</v>
      </c>
      <c r="H417" s="48"/>
      <c r="I417" s="48">
        <v>19216.8</v>
      </c>
      <c r="J417" s="48"/>
      <c r="K417" s="48">
        <v>0</v>
      </c>
      <c r="L417" s="48"/>
      <c r="M417" s="48">
        <v>183480.67</v>
      </c>
      <c r="N417" s="48"/>
      <c r="O417" s="48">
        <v>33026.14</v>
      </c>
      <c r="P417" s="48"/>
      <c r="Q417" s="48">
        <v>994080</v>
      </c>
      <c r="R417" s="48"/>
      <c r="S417" s="48">
        <v>0</v>
      </c>
      <c r="T417" s="48"/>
      <c r="U417" s="48">
        <v>0</v>
      </c>
      <c r="V417" s="48"/>
      <c r="W417" s="48">
        <v>0</v>
      </c>
      <c r="X417" s="48"/>
      <c r="Y417" s="48">
        <v>20000</v>
      </c>
      <c r="Z417" s="48"/>
      <c r="AA417" s="48">
        <v>0</v>
      </c>
      <c r="AB417" s="48"/>
      <c r="AC417" s="48">
        <v>0</v>
      </c>
      <c r="AD417" s="48"/>
      <c r="AE417" s="48">
        <f t="shared" si="23"/>
        <v>1730435.45</v>
      </c>
      <c r="AG417" s="55">
        <v>193427.86</v>
      </c>
      <c r="AI417" s="55">
        <v>258934.83</v>
      </c>
      <c r="AK417" s="55">
        <v>452362.69</v>
      </c>
      <c r="AL417" s="8">
        <f>+'Gen Rev'!AI418-'Gen Exp'!AE417+'Gen Exp'!AI417-AK417</f>
        <v>0</v>
      </c>
      <c r="AM417" s="21" t="str">
        <f>'Gen Rev'!A418</f>
        <v>New Boston</v>
      </c>
      <c r="AN417" s="67" t="str">
        <f t="shared" si="24"/>
        <v>New Boston</v>
      </c>
      <c r="AO417" s="67" t="b">
        <f t="shared" si="25"/>
        <v>1</v>
      </c>
    </row>
    <row r="418" spans="1:41" ht="12" customHeight="1" x14ac:dyDescent="0.2">
      <c r="A418" s="1" t="s">
        <v>259</v>
      </c>
      <c r="C418" s="1" t="s">
        <v>257</v>
      </c>
      <c r="E418" s="48">
        <v>793483</v>
      </c>
      <c r="F418" s="48"/>
      <c r="G418" s="48">
        <v>178</v>
      </c>
      <c r="H418" s="48"/>
      <c r="I418" s="48">
        <v>297974</v>
      </c>
      <c r="J418" s="48"/>
      <c r="K418" s="48">
        <v>0</v>
      </c>
      <c r="L418" s="48"/>
      <c r="M418" s="48">
        <v>0</v>
      </c>
      <c r="N418" s="48"/>
      <c r="O418" s="48">
        <v>109665</v>
      </c>
      <c r="P418" s="48"/>
      <c r="Q418" s="48">
        <v>526255</v>
      </c>
      <c r="R418" s="48"/>
      <c r="S418" s="48">
        <v>1184024</v>
      </c>
      <c r="T418" s="48"/>
      <c r="U418" s="48">
        <v>0</v>
      </c>
      <c r="V418" s="48"/>
      <c r="W418" s="48">
        <v>0</v>
      </c>
      <c r="X418" s="48"/>
      <c r="Y418" s="48">
        <v>610000</v>
      </c>
      <c r="Z418" s="48"/>
      <c r="AA418" s="48">
        <v>0</v>
      </c>
      <c r="AB418" s="48"/>
      <c r="AC418" s="48">
        <v>0</v>
      </c>
      <c r="AD418" s="48"/>
      <c r="AE418" s="48">
        <f t="shared" si="23"/>
        <v>3521579</v>
      </c>
      <c r="AF418" s="48"/>
      <c r="AG418" s="59"/>
      <c r="AH418" s="59"/>
      <c r="AI418" s="59"/>
      <c r="AJ418" s="59"/>
      <c r="AK418" s="59"/>
      <c r="AL418" s="8">
        <f>+'Gen Rev'!AI419-'Gen Exp'!AE418+'Gen Exp'!AI418-AK418</f>
        <v>104832</v>
      </c>
      <c r="AM418" s="21" t="str">
        <f>'Gen Rev'!A419</f>
        <v>New Bremen</v>
      </c>
      <c r="AN418" s="67" t="str">
        <f t="shared" si="24"/>
        <v>New Bremen</v>
      </c>
      <c r="AO418" s="67" t="b">
        <f t="shared" si="25"/>
        <v>1</v>
      </c>
    </row>
    <row r="419" spans="1:41" ht="12" customHeight="1" x14ac:dyDescent="0.2">
      <c r="A419" s="1" t="s">
        <v>451</v>
      </c>
      <c r="C419" s="1" t="s">
        <v>450</v>
      </c>
      <c r="E419" s="48">
        <v>210983</v>
      </c>
      <c r="F419" s="48"/>
      <c r="G419" s="48">
        <v>0</v>
      </c>
      <c r="H419" s="48"/>
      <c r="I419" s="48">
        <v>0</v>
      </c>
      <c r="J419" s="48"/>
      <c r="K419" s="48">
        <v>0</v>
      </c>
      <c r="L419" s="48"/>
      <c r="M419" s="48">
        <v>0</v>
      </c>
      <c r="N419" s="48"/>
      <c r="O419" s="48">
        <v>0</v>
      </c>
      <c r="P419" s="48"/>
      <c r="Q419" s="48">
        <v>285482</v>
      </c>
      <c r="R419" s="48"/>
      <c r="S419" s="48">
        <v>50739</v>
      </c>
      <c r="T419" s="48"/>
      <c r="U419" s="48">
        <v>85436</v>
      </c>
      <c r="V419" s="48"/>
      <c r="W419" s="48">
        <v>0</v>
      </c>
      <c r="X419" s="48"/>
      <c r="Y419" s="48">
        <v>167080</v>
      </c>
      <c r="Z419" s="48"/>
      <c r="AA419" s="48">
        <v>0</v>
      </c>
      <c r="AB419" s="48"/>
      <c r="AC419" s="48">
        <v>2061</v>
      </c>
      <c r="AD419" s="48"/>
      <c r="AE419" s="48">
        <f t="shared" si="23"/>
        <v>801781</v>
      </c>
      <c r="AF419" s="48"/>
      <c r="AG419" s="59"/>
      <c r="AH419" s="59"/>
      <c r="AI419" s="59"/>
      <c r="AJ419" s="59"/>
      <c r="AK419" s="59"/>
      <c r="AL419" s="8">
        <f>+'Gen Rev'!AI420-'Gen Exp'!AE419+'Gen Exp'!AI419-AK419</f>
        <v>88823</v>
      </c>
      <c r="AM419" s="21" t="str">
        <f>'Gen Rev'!A420</f>
        <v>New Concord</v>
      </c>
      <c r="AN419" s="67" t="str">
        <f t="shared" si="24"/>
        <v>New Concord</v>
      </c>
      <c r="AO419" s="67" t="b">
        <f t="shared" si="25"/>
        <v>1</v>
      </c>
    </row>
    <row r="420" spans="1:41" ht="12" customHeight="1" x14ac:dyDescent="0.2">
      <c r="A420" s="1" t="s">
        <v>174</v>
      </c>
      <c r="C420" s="1" t="s">
        <v>467</v>
      </c>
      <c r="E420" s="48">
        <v>1654.25</v>
      </c>
      <c r="F420" s="48"/>
      <c r="G420" s="48">
        <v>0</v>
      </c>
      <c r="H420" s="48"/>
      <c r="I420" s="48">
        <v>0</v>
      </c>
      <c r="J420" s="48"/>
      <c r="K420" s="48">
        <v>170.15</v>
      </c>
      <c r="L420" s="48"/>
      <c r="M420" s="48">
        <v>0</v>
      </c>
      <c r="N420" s="48"/>
      <c r="O420" s="48">
        <v>0</v>
      </c>
      <c r="P420" s="48"/>
      <c r="Q420" s="48">
        <v>32489.84</v>
      </c>
      <c r="R420" s="48"/>
      <c r="S420" s="48">
        <v>206.44</v>
      </c>
      <c r="T420" s="48"/>
      <c r="U420" s="48">
        <v>0</v>
      </c>
      <c r="V420" s="48"/>
      <c r="W420" s="48">
        <v>0</v>
      </c>
      <c r="X420" s="48"/>
      <c r="Y420" s="48">
        <v>0</v>
      </c>
      <c r="Z420" s="48"/>
      <c r="AA420" s="48">
        <v>1100</v>
      </c>
      <c r="AB420" s="48"/>
      <c r="AC420" s="48">
        <v>0</v>
      </c>
      <c r="AD420" s="48"/>
      <c r="AE420" s="48">
        <f t="shared" si="23"/>
        <v>35620.68</v>
      </c>
      <c r="AG420" s="55">
        <v>14151.47</v>
      </c>
      <c r="AI420" s="55">
        <v>95899.07</v>
      </c>
      <c r="AK420" s="55">
        <v>110050.54</v>
      </c>
      <c r="AL420" s="8">
        <f>+'Gen Rev'!AI421-'Gen Exp'!AE420+'Gen Exp'!AI420-AK420</f>
        <v>0</v>
      </c>
      <c r="AM420" s="21" t="str">
        <f>'Gen Rev'!A421</f>
        <v>New Holland</v>
      </c>
      <c r="AN420" s="67" t="str">
        <f t="shared" si="24"/>
        <v>New Holland</v>
      </c>
      <c r="AO420" s="67" t="b">
        <f t="shared" si="25"/>
        <v>1</v>
      </c>
    </row>
    <row r="421" spans="1:41" ht="12" customHeight="1" x14ac:dyDescent="0.2">
      <c r="A421" s="1" t="s">
        <v>12</v>
      </c>
      <c r="C421" s="1" t="s">
        <v>257</v>
      </c>
      <c r="E421" s="48">
        <v>59394.26</v>
      </c>
      <c r="F421" s="48"/>
      <c r="G421" s="48">
        <v>48.54</v>
      </c>
      <c r="H421" s="48"/>
      <c r="I421" s="48">
        <v>30223.87</v>
      </c>
      <c r="J421" s="48"/>
      <c r="K421" s="48">
        <v>0</v>
      </c>
      <c r="L421" s="48"/>
      <c r="M421" s="48">
        <v>23160</v>
      </c>
      <c r="N421" s="48"/>
      <c r="O421" s="48">
        <v>0</v>
      </c>
      <c r="P421" s="48"/>
      <c r="Q421" s="48">
        <v>165685.84</v>
      </c>
      <c r="R421" s="48"/>
      <c r="S421" s="48">
        <v>5403</v>
      </c>
      <c r="T421" s="48"/>
      <c r="U421" s="48">
        <v>0</v>
      </c>
      <c r="V421" s="48"/>
      <c r="W421" s="48">
        <v>0</v>
      </c>
      <c r="X421" s="48"/>
      <c r="Y421" s="48">
        <v>128070.04</v>
      </c>
      <c r="Z421" s="48"/>
      <c r="AA421" s="48">
        <v>0</v>
      </c>
      <c r="AB421" s="48"/>
      <c r="AC421" s="48">
        <v>0</v>
      </c>
      <c r="AD421" s="48"/>
      <c r="AE421" s="48">
        <f t="shared" si="23"/>
        <v>411985.55</v>
      </c>
      <c r="AG421" s="55">
        <v>108626.63</v>
      </c>
      <c r="AI421" s="55">
        <v>440001.9</v>
      </c>
      <c r="AK421" s="55">
        <v>548628.53</v>
      </c>
      <c r="AL421" s="8">
        <f>+'Gen Rev'!AI422-'Gen Exp'!AE421+'Gen Exp'!AI421-AK421</f>
        <v>0</v>
      </c>
      <c r="AM421" s="21" t="str">
        <f>'Gen Rev'!A422</f>
        <v>New Knoxville</v>
      </c>
      <c r="AN421" s="67" t="str">
        <f t="shared" si="24"/>
        <v>New Knoxville</v>
      </c>
      <c r="AO421" s="67" t="b">
        <f t="shared" si="25"/>
        <v>1</v>
      </c>
    </row>
    <row r="422" spans="1:41" ht="12" customHeight="1" x14ac:dyDescent="0.2">
      <c r="A422" s="1" t="s">
        <v>447</v>
      </c>
      <c r="C422" s="1" t="s">
        <v>446</v>
      </c>
      <c r="D422" s="6"/>
      <c r="E422" s="48">
        <v>0</v>
      </c>
      <c r="F422" s="48"/>
      <c r="G422" s="48">
        <v>0</v>
      </c>
      <c r="H422" s="48"/>
      <c r="I422" s="48">
        <v>75039</v>
      </c>
      <c r="J422" s="48"/>
      <c r="K422" s="48">
        <v>31417</v>
      </c>
      <c r="L422" s="48"/>
      <c r="M422" s="48">
        <v>0</v>
      </c>
      <c r="N422" s="48"/>
      <c r="O422" s="48">
        <v>0</v>
      </c>
      <c r="P422" s="48"/>
      <c r="Q422" s="48">
        <v>153774</v>
      </c>
      <c r="R422" s="48"/>
      <c r="S422" s="48">
        <v>25592</v>
      </c>
      <c r="T422" s="48"/>
      <c r="U422" s="48">
        <v>100000</v>
      </c>
      <c r="V422" s="48"/>
      <c r="W422" s="48">
        <v>2250</v>
      </c>
      <c r="X422" s="48"/>
      <c r="Y422" s="48">
        <v>230443</v>
      </c>
      <c r="Z422" s="48"/>
      <c r="AA422" s="48">
        <v>0</v>
      </c>
      <c r="AB422" s="48"/>
      <c r="AC422" s="48">
        <v>57097</v>
      </c>
      <c r="AD422" s="48"/>
      <c r="AE422" s="48">
        <f t="shared" si="23"/>
        <v>675612</v>
      </c>
      <c r="AF422" s="48"/>
      <c r="AG422" s="59"/>
      <c r="AH422" s="59"/>
      <c r="AI422" s="59"/>
      <c r="AJ422" s="59"/>
      <c r="AK422" s="59"/>
      <c r="AL422" s="8">
        <f>+'Gen Rev'!AI423-'Gen Exp'!AE422+'Gen Exp'!AI422-AK422</f>
        <v>38546</v>
      </c>
      <c r="AM422" s="21" t="str">
        <f>'Gen Rev'!A423</f>
        <v>New Lebanon</v>
      </c>
      <c r="AN422" s="67" t="str">
        <f t="shared" si="24"/>
        <v>New Lebanon</v>
      </c>
      <c r="AO422" s="67" t="b">
        <f t="shared" si="25"/>
        <v>1</v>
      </c>
    </row>
    <row r="423" spans="1:41" ht="12" customHeight="1" x14ac:dyDescent="0.2">
      <c r="A423" s="1" t="s">
        <v>834</v>
      </c>
      <c r="C423" s="1" t="s">
        <v>464</v>
      </c>
      <c r="E423" s="48">
        <v>675662.88</v>
      </c>
      <c r="F423" s="48"/>
      <c r="G423" s="48">
        <v>0</v>
      </c>
      <c r="H423" s="48"/>
      <c r="I423" s="48">
        <v>12762.52</v>
      </c>
      <c r="J423" s="48"/>
      <c r="K423" s="48">
        <v>0</v>
      </c>
      <c r="L423" s="48"/>
      <c r="M423" s="48">
        <v>0</v>
      </c>
      <c r="N423" s="48"/>
      <c r="O423" s="48">
        <v>0</v>
      </c>
      <c r="P423" s="48"/>
      <c r="Q423" s="48">
        <v>516474.18</v>
      </c>
      <c r="R423" s="48"/>
      <c r="S423" s="48">
        <v>0</v>
      </c>
      <c r="T423" s="48"/>
      <c r="U423" s="48">
        <v>0</v>
      </c>
      <c r="V423" s="48"/>
      <c r="W423" s="48">
        <v>0</v>
      </c>
      <c r="X423" s="48"/>
      <c r="Y423" s="48">
        <v>0</v>
      </c>
      <c r="Z423" s="48"/>
      <c r="AA423" s="48">
        <v>0</v>
      </c>
      <c r="AB423" s="48"/>
      <c r="AC423" s="48">
        <v>0</v>
      </c>
      <c r="AD423" s="48"/>
      <c r="AE423" s="48">
        <f t="shared" si="23"/>
        <v>1204899.58</v>
      </c>
      <c r="AG423" s="55">
        <v>-27805.97</v>
      </c>
      <c r="AI423" s="55">
        <v>-201575.46</v>
      </c>
      <c r="AK423" s="55">
        <v>-229381.43</v>
      </c>
      <c r="AL423" s="8">
        <f>+'Gen Rev'!AI424-'Gen Exp'!AE423+'Gen Exp'!AI423-AK423</f>
        <v>0</v>
      </c>
      <c r="AM423" s="21" t="str">
        <f>'Gen Rev'!A424</f>
        <v>New Lexington</v>
      </c>
      <c r="AN423" s="67" t="str">
        <f t="shared" si="24"/>
        <v>New Lexington</v>
      </c>
      <c r="AO423" s="67" t="b">
        <f t="shared" si="25"/>
        <v>1</v>
      </c>
    </row>
    <row r="424" spans="1:41" ht="12" hidden="1" customHeight="1" x14ac:dyDescent="0.2">
      <c r="A424" s="1" t="s">
        <v>387</v>
      </c>
      <c r="C424" s="1" t="s">
        <v>386</v>
      </c>
      <c r="E424" s="48">
        <v>0</v>
      </c>
      <c r="F424" s="48"/>
      <c r="G424" s="48">
        <v>0</v>
      </c>
      <c r="H424" s="48"/>
      <c r="I424" s="48">
        <v>0</v>
      </c>
      <c r="J424" s="48"/>
      <c r="K424" s="48">
        <v>0</v>
      </c>
      <c r="L424" s="48"/>
      <c r="M424" s="48">
        <v>0</v>
      </c>
      <c r="N424" s="48"/>
      <c r="O424" s="48">
        <v>0</v>
      </c>
      <c r="P424" s="48"/>
      <c r="Q424" s="48">
        <v>0</v>
      </c>
      <c r="R424" s="48"/>
      <c r="S424" s="48">
        <v>0</v>
      </c>
      <c r="T424" s="48"/>
      <c r="U424" s="48">
        <v>0</v>
      </c>
      <c r="V424" s="48"/>
      <c r="W424" s="48">
        <v>0</v>
      </c>
      <c r="X424" s="48"/>
      <c r="Y424" s="48">
        <v>0</v>
      </c>
      <c r="Z424" s="48"/>
      <c r="AA424" s="48">
        <v>0</v>
      </c>
      <c r="AB424" s="48"/>
      <c r="AC424" s="48">
        <v>0</v>
      </c>
      <c r="AD424" s="48"/>
      <c r="AE424" s="48">
        <f t="shared" si="23"/>
        <v>0</v>
      </c>
      <c r="AG424" s="55">
        <v>780891.55</v>
      </c>
      <c r="AI424" s="55">
        <v>166702.47</v>
      </c>
      <c r="AK424" s="55">
        <v>947594.02</v>
      </c>
      <c r="AL424" s="8">
        <f>+'Gen Rev'!AI425-'Gen Exp'!AE424+'Gen Exp'!AI424-AK424</f>
        <v>0</v>
      </c>
      <c r="AM424" s="21" t="str">
        <f>'Gen Rev'!A425</f>
        <v>New London</v>
      </c>
      <c r="AN424" s="67" t="str">
        <f t="shared" si="24"/>
        <v>New London</v>
      </c>
      <c r="AO424" s="67" t="b">
        <f t="shared" si="25"/>
        <v>1</v>
      </c>
    </row>
    <row r="425" spans="1:41" ht="12" customHeight="1" x14ac:dyDescent="0.2">
      <c r="A425" s="1" t="s">
        <v>807</v>
      </c>
      <c r="C425" s="1" t="s">
        <v>480</v>
      </c>
      <c r="E425" s="48">
        <v>123342.88</v>
      </c>
      <c r="F425" s="48"/>
      <c r="G425" s="48">
        <v>970.52</v>
      </c>
      <c r="H425" s="48"/>
      <c r="I425" s="48">
        <v>60163.59</v>
      </c>
      <c r="J425" s="48"/>
      <c r="K425" s="48">
        <v>0</v>
      </c>
      <c r="L425" s="48"/>
      <c r="M425" s="48">
        <v>0</v>
      </c>
      <c r="N425" s="48"/>
      <c r="O425" s="48">
        <v>68027.73</v>
      </c>
      <c r="P425" s="48"/>
      <c r="Q425" s="48">
        <v>268964.55</v>
      </c>
      <c r="R425" s="48"/>
      <c r="S425" s="48">
        <v>247199.27</v>
      </c>
      <c r="T425" s="48"/>
      <c r="U425" s="48">
        <v>0</v>
      </c>
      <c r="V425" s="48"/>
      <c r="W425" s="48">
        <v>0</v>
      </c>
      <c r="X425" s="48"/>
      <c r="Y425" s="48">
        <v>0</v>
      </c>
      <c r="Z425" s="48"/>
      <c r="AA425" s="48">
        <v>0</v>
      </c>
      <c r="AB425" s="48"/>
      <c r="AC425" s="48">
        <v>0</v>
      </c>
      <c r="AD425" s="48"/>
      <c r="AE425" s="48">
        <f t="shared" si="23"/>
        <v>768668.53999999992</v>
      </c>
      <c r="AG425" s="55">
        <v>969455.66</v>
      </c>
      <c r="AI425" s="55">
        <v>700191.79</v>
      </c>
      <c r="AK425" s="55">
        <v>1669647.45</v>
      </c>
      <c r="AL425" s="8">
        <f>+'Gen Rev'!AI426-'Gen Exp'!AE425+'Gen Exp'!AI425-AK425</f>
        <v>0</v>
      </c>
      <c r="AM425" s="21" t="str">
        <f>'Gen Rev'!A426</f>
        <v>New Miami</v>
      </c>
      <c r="AN425" s="67" t="str">
        <f t="shared" si="24"/>
        <v>New Miami</v>
      </c>
      <c r="AO425" s="67" t="b">
        <f t="shared" si="25"/>
        <v>1</v>
      </c>
    </row>
    <row r="426" spans="1:41" s="67" customFormat="1" ht="12" customHeight="1" x14ac:dyDescent="0.2">
      <c r="A426" s="1" t="s">
        <v>852</v>
      </c>
      <c r="B426" s="1"/>
      <c r="C426" s="1" t="s">
        <v>429</v>
      </c>
      <c r="D426" s="1"/>
      <c r="E426" s="48">
        <v>1312.51</v>
      </c>
      <c r="F426" s="48"/>
      <c r="G426" s="48">
        <v>7191.5</v>
      </c>
      <c r="H426" s="48"/>
      <c r="I426" s="48">
        <v>2362.4299999999998</v>
      </c>
      <c r="J426" s="48"/>
      <c r="K426" s="48">
        <v>5611.71</v>
      </c>
      <c r="L426" s="48"/>
      <c r="M426" s="48">
        <v>0</v>
      </c>
      <c r="N426" s="48"/>
      <c r="O426" s="48">
        <v>0</v>
      </c>
      <c r="P426" s="48"/>
      <c r="Q426" s="48">
        <v>158584.47</v>
      </c>
      <c r="R426" s="48"/>
      <c r="S426" s="48">
        <v>0</v>
      </c>
      <c r="T426" s="48"/>
      <c r="U426" s="48">
        <v>0</v>
      </c>
      <c r="V426" s="48"/>
      <c r="W426" s="48">
        <v>0</v>
      </c>
      <c r="X426" s="48"/>
      <c r="Y426" s="48">
        <v>75101.7</v>
      </c>
      <c r="Z426" s="48"/>
      <c r="AA426" s="48">
        <v>62500</v>
      </c>
      <c r="AB426" s="48"/>
      <c r="AC426" s="48">
        <v>0</v>
      </c>
      <c r="AD426" s="48"/>
      <c r="AE426" s="48">
        <f t="shared" si="23"/>
        <v>312664.32000000001</v>
      </c>
      <c r="AF426" s="1"/>
      <c r="AG426" s="55">
        <v>-31213.52</v>
      </c>
      <c r="AH426" s="55"/>
      <c r="AI426" s="55">
        <v>245931.11</v>
      </c>
      <c r="AJ426" s="55"/>
      <c r="AK426" s="55">
        <v>214717.59</v>
      </c>
      <c r="AL426" s="8">
        <f>+'Gen Rev'!AI427-'Gen Exp'!AE426+'Gen Exp'!AI426-AK426</f>
        <v>0</v>
      </c>
      <c r="AM426" s="21" t="str">
        <f>'Gen Rev'!A427</f>
        <v>New Middletown</v>
      </c>
      <c r="AN426" s="67" t="str">
        <f t="shared" si="24"/>
        <v>New Middletown</v>
      </c>
      <c r="AO426" s="67" t="b">
        <f t="shared" si="25"/>
        <v>1</v>
      </c>
    </row>
    <row r="427" spans="1:41" ht="12" customHeight="1" x14ac:dyDescent="0.2">
      <c r="A427" s="1" t="s">
        <v>473</v>
      </c>
      <c r="C427" s="1" t="s">
        <v>472</v>
      </c>
      <c r="E427" s="48">
        <v>0</v>
      </c>
      <c r="F427" s="48"/>
      <c r="G427" s="48">
        <v>750</v>
      </c>
      <c r="H427" s="48"/>
      <c r="I427" s="48">
        <v>0</v>
      </c>
      <c r="J427" s="48"/>
      <c r="K427" s="48">
        <v>3301.53</v>
      </c>
      <c r="L427" s="48"/>
      <c r="M427" s="48">
        <v>0</v>
      </c>
      <c r="N427" s="48"/>
      <c r="O427" s="48">
        <v>0</v>
      </c>
      <c r="P427" s="48"/>
      <c r="Q427" s="48">
        <v>69610.990000000005</v>
      </c>
      <c r="R427" s="48"/>
      <c r="S427" s="48">
        <v>1932.17</v>
      </c>
      <c r="T427" s="48"/>
      <c r="U427" s="48">
        <v>3117.36</v>
      </c>
      <c r="V427" s="48"/>
      <c r="W427" s="48">
        <v>3772.37</v>
      </c>
      <c r="X427" s="48"/>
      <c r="Y427" s="48">
        <v>130335.94</v>
      </c>
      <c r="Z427" s="48"/>
      <c r="AA427" s="48">
        <v>0</v>
      </c>
      <c r="AB427" s="48"/>
      <c r="AC427" s="48">
        <v>3000</v>
      </c>
      <c r="AD427" s="48"/>
      <c r="AE427" s="48">
        <f t="shared" ref="AE427:AE468" si="26">SUM(E427:AC427)</f>
        <v>215820.36</v>
      </c>
      <c r="AG427" s="55">
        <v>33022.480000000003</v>
      </c>
      <c r="AI427" s="55">
        <v>49123.08</v>
      </c>
      <c r="AK427" s="55">
        <v>82145.56</v>
      </c>
      <c r="AL427" s="8">
        <f>+'Gen Rev'!AI428-'Gen Exp'!AE427+'Gen Exp'!AI427-AK427</f>
        <v>0</v>
      </c>
      <c r="AM427" s="21" t="str">
        <f>'Gen Rev'!A428</f>
        <v>New Paris</v>
      </c>
      <c r="AN427" s="67" t="str">
        <f t="shared" si="24"/>
        <v>New Paris</v>
      </c>
      <c r="AO427" s="67" t="b">
        <f t="shared" si="25"/>
        <v>1</v>
      </c>
    </row>
    <row r="428" spans="1:41" ht="12" customHeight="1" x14ac:dyDescent="0.2">
      <c r="A428" s="1" t="s">
        <v>37</v>
      </c>
      <c r="C428" s="1" t="s">
        <v>277</v>
      </c>
      <c r="E428" s="48">
        <v>32783.15</v>
      </c>
      <c r="F428" s="48"/>
      <c r="G428" s="48">
        <v>0</v>
      </c>
      <c r="H428" s="48"/>
      <c r="I428" s="48">
        <v>14095.33</v>
      </c>
      <c r="J428" s="48"/>
      <c r="K428" s="48">
        <v>15250.45</v>
      </c>
      <c r="L428" s="48"/>
      <c r="M428" s="48">
        <v>0</v>
      </c>
      <c r="N428" s="48"/>
      <c r="O428" s="48">
        <v>0</v>
      </c>
      <c r="P428" s="48"/>
      <c r="Q428" s="48">
        <v>359707.94</v>
      </c>
      <c r="R428" s="48"/>
      <c r="S428" s="48">
        <v>0</v>
      </c>
      <c r="T428" s="48"/>
      <c r="U428" s="48">
        <v>1324.88</v>
      </c>
      <c r="V428" s="48"/>
      <c r="W428" s="48">
        <v>171.76</v>
      </c>
      <c r="X428" s="48"/>
      <c r="Y428" s="48">
        <v>210667.78</v>
      </c>
      <c r="Z428" s="48"/>
      <c r="AA428" s="48">
        <v>24718.33</v>
      </c>
      <c r="AB428" s="48"/>
      <c r="AC428" s="48">
        <v>0</v>
      </c>
      <c r="AD428" s="48"/>
      <c r="AE428" s="48">
        <f t="shared" si="26"/>
        <v>658719.62</v>
      </c>
      <c r="AG428" s="55">
        <v>173344.24</v>
      </c>
      <c r="AI428" s="55">
        <v>616925.72</v>
      </c>
      <c r="AK428" s="55">
        <v>790269.96</v>
      </c>
      <c r="AL428" s="8">
        <f>+'Gen Rev'!AI429-'Gen Exp'!AE428+'Gen Exp'!AI428-AK428</f>
        <v>0</v>
      </c>
      <c r="AM428" s="21" t="str">
        <f>'Gen Rev'!A429</f>
        <v>New Richmond</v>
      </c>
      <c r="AN428" s="67" t="str">
        <f t="shared" si="24"/>
        <v>New Richmond</v>
      </c>
      <c r="AO428" s="67" t="b">
        <f t="shared" si="25"/>
        <v>1</v>
      </c>
    </row>
    <row r="429" spans="1:41" ht="12" customHeight="1" x14ac:dyDescent="0.2">
      <c r="A429" s="1" t="s">
        <v>205</v>
      </c>
      <c r="C429" s="1" t="s">
        <v>494</v>
      </c>
      <c r="E429" s="48">
        <v>14865.14</v>
      </c>
      <c r="F429" s="48"/>
      <c r="G429" s="48">
        <v>0</v>
      </c>
      <c r="H429" s="48"/>
      <c r="I429" s="48">
        <v>4642.01</v>
      </c>
      <c r="J429" s="48"/>
      <c r="K429" s="48">
        <v>0</v>
      </c>
      <c r="L429" s="48"/>
      <c r="M429" s="48">
        <v>13601.96</v>
      </c>
      <c r="N429" s="48"/>
      <c r="O429" s="48">
        <v>0</v>
      </c>
      <c r="P429" s="48"/>
      <c r="Q429" s="48">
        <v>71997.3</v>
      </c>
      <c r="R429" s="48"/>
      <c r="S429" s="48">
        <v>0</v>
      </c>
      <c r="T429" s="48"/>
      <c r="U429" s="48">
        <v>0</v>
      </c>
      <c r="V429" s="48"/>
      <c r="W429" s="48">
        <v>0</v>
      </c>
      <c r="X429" s="48"/>
      <c r="Y429" s="48">
        <v>0</v>
      </c>
      <c r="Z429" s="48"/>
      <c r="AA429" s="48">
        <v>0</v>
      </c>
      <c r="AB429" s="48"/>
      <c r="AC429" s="48">
        <v>0</v>
      </c>
      <c r="AD429" s="48"/>
      <c r="AE429" s="48">
        <f t="shared" si="26"/>
        <v>105106.41</v>
      </c>
      <c r="AG429" s="55">
        <v>10636.83</v>
      </c>
      <c r="AI429" s="55">
        <v>288395.78000000003</v>
      </c>
      <c r="AK429" s="55">
        <v>299032.61</v>
      </c>
      <c r="AL429" s="8">
        <f>+'Gen Rev'!AI430-'Gen Exp'!AE429+'Gen Exp'!AI429-AK429</f>
        <v>0</v>
      </c>
      <c r="AM429" s="21" t="str">
        <f>'Gen Rev'!A430</f>
        <v>New Riegel</v>
      </c>
      <c r="AN429" s="67" t="str">
        <f t="shared" si="24"/>
        <v>New Riegel</v>
      </c>
      <c r="AO429" s="67" t="b">
        <f t="shared" si="25"/>
        <v>1</v>
      </c>
    </row>
    <row r="430" spans="1:41" ht="12" customHeight="1" x14ac:dyDescent="0.2">
      <c r="A430" s="1" t="s">
        <v>649</v>
      </c>
      <c r="C430" s="1" t="s">
        <v>464</v>
      </c>
      <c r="E430" s="48">
        <v>0</v>
      </c>
      <c r="F430" s="48"/>
      <c r="G430" s="48">
        <v>0</v>
      </c>
      <c r="H430" s="48"/>
      <c r="I430" s="48">
        <v>0</v>
      </c>
      <c r="J430" s="48"/>
      <c r="K430" s="48">
        <v>0</v>
      </c>
      <c r="L430" s="48"/>
      <c r="M430" s="48">
        <v>0</v>
      </c>
      <c r="N430" s="48"/>
      <c r="O430" s="48">
        <v>0</v>
      </c>
      <c r="P430" s="48"/>
      <c r="Q430" s="48">
        <v>45231.13</v>
      </c>
      <c r="R430" s="48"/>
      <c r="S430" s="48">
        <v>0</v>
      </c>
      <c r="T430" s="48"/>
      <c r="U430" s="48">
        <v>0</v>
      </c>
      <c r="V430" s="48"/>
      <c r="W430" s="48">
        <v>0</v>
      </c>
      <c r="X430" s="48"/>
      <c r="Y430" s="48">
        <v>23689.119999999999</v>
      </c>
      <c r="Z430" s="48"/>
      <c r="AA430" s="48">
        <v>0</v>
      </c>
      <c r="AB430" s="48"/>
      <c r="AC430" s="48">
        <v>0</v>
      </c>
      <c r="AD430" s="48"/>
      <c r="AE430" s="48">
        <f t="shared" si="26"/>
        <v>68920.25</v>
      </c>
      <c r="AG430" s="55">
        <v>-2069.2800000000002</v>
      </c>
      <c r="AI430" s="55">
        <v>15149.87</v>
      </c>
      <c r="AK430" s="55">
        <v>13080.59</v>
      </c>
      <c r="AL430" s="8">
        <f>+'Gen Rev'!AI431-'Gen Exp'!AE430+'Gen Exp'!AI430-AK430</f>
        <v>0</v>
      </c>
      <c r="AM430" s="21" t="str">
        <f>'Gen Rev'!A431</f>
        <v>New Straitsville</v>
      </c>
      <c r="AN430" s="67" t="str">
        <f t="shared" si="24"/>
        <v>New Straitsville</v>
      </c>
      <c r="AO430" s="67" t="b">
        <f t="shared" si="25"/>
        <v>1</v>
      </c>
    </row>
    <row r="431" spans="1:41" ht="12" customHeight="1" x14ac:dyDescent="0.2">
      <c r="A431" s="1" t="s">
        <v>40</v>
      </c>
      <c r="C431" s="1" t="s">
        <v>280</v>
      </c>
      <c r="E431" s="48">
        <v>18702.61</v>
      </c>
      <c r="F431" s="48"/>
      <c r="G431" s="48">
        <v>0</v>
      </c>
      <c r="H431" s="48"/>
      <c r="I431" s="48">
        <v>0</v>
      </c>
      <c r="J431" s="48"/>
      <c r="K431" s="48">
        <v>0</v>
      </c>
      <c r="L431" s="48"/>
      <c r="M431" s="48">
        <v>1169.3499999999999</v>
      </c>
      <c r="N431" s="48"/>
      <c r="O431" s="48">
        <v>0</v>
      </c>
      <c r="P431" s="48"/>
      <c r="Q431" s="48">
        <v>71512.19</v>
      </c>
      <c r="R431" s="48"/>
      <c r="S431" s="48">
        <v>0</v>
      </c>
      <c r="T431" s="48"/>
      <c r="U431" s="48">
        <v>0</v>
      </c>
      <c r="V431" s="48"/>
      <c r="W431" s="48">
        <v>0</v>
      </c>
      <c r="X431" s="48"/>
      <c r="Y431" s="48">
        <v>0</v>
      </c>
      <c r="Z431" s="48"/>
      <c r="AA431" s="48">
        <v>6000</v>
      </c>
      <c r="AB431" s="48"/>
      <c r="AC431" s="48">
        <v>0</v>
      </c>
      <c r="AD431" s="48"/>
      <c r="AE431" s="48">
        <f t="shared" si="26"/>
        <v>97384.15</v>
      </c>
      <c r="AG431" s="55">
        <v>3337.37</v>
      </c>
      <c r="AI431" s="55">
        <v>72702.98</v>
      </c>
      <c r="AK431" s="55">
        <v>76040.350000000006</v>
      </c>
      <c r="AL431" s="8">
        <f>+'Gen Rev'!AI432-'Gen Exp'!AE431+'Gen Exp'!AI431-AK431</f>
        <v>0</v>
      </c>
      <c r="AM431" s="21" t="str">
        <f>'Gen Rev'!A432</f>
        <v>New Vienna</v>
      </c>
      <c r="AN431" s="67" t="str">
        <f t="shared" si="24"/>
        <v>New Vienna</v>
      </c>
      <c r="AO431" s="67" t="b">
        <f t="shared" si="25"/>
        <v>1</v>
      </c>
    </row>
    <row r="432" spans="1:41" ht="12" customHeight="1" x14ac:dyDescent="0.2">
      <c r="A432" s="1" t="s">
        <v>290</v>
      </c>
      <c r="C432" s="1" t="s">
        <v>289</v>
      </c>
      <c r="E432" s="48">
        <v>104655.24</v>
      </c>
      <c r="F432" s="48"/>
      <c r="G432" s="48">
        <v>1726.68</v>
      </c>
      <c r="H432" s="48"/>
      <c r="I432" s="48">
        <v>39453.57</v>
      </c>
      <c r="J432" s="48"/>
      <c r="K432" s="48">
        <v>804</v>
      </c>
      <c r="L432" s="48"/>
      <c r="M432" s="48">
        <v>0</v>
      </c>
      <c r="N432" s="48"/>
      <c r="O432" s="48">
        <v>0</v>
      </c>
      <c r="P432" s="48"/>
      <c r="Q432" s="48">
        <v>192877.28</v>
      </c>
      <c r="R432" s="48"/>
      <c r="S432" s="48">
        <v>0</v>
      </c>
      <c r="T432" s="48"/>
      <c r="U432" s="48">
        <v>0</v>
      </c>
      <c r="V432" s="48"/>
      <c r="W432" s="48">
        <v>0</v>
      </c>
      <c r="X432" s="48"/>
      <c r="Y432" s="48">
        <v>131000</v>
      </c>
      <c r="Z432" s="48"/>
      <c r="AA432" s="48">
        <v>0</v>
      </c>
      <c r="AB432" s="48"/>
      <c r="AC432" s="48">
        <v>0</v>
      </c>
      <c r="AD432" s="48"/>
      <c r="AE432" s="48">
        <f t="shared" si="26"/>
        <v>470516.77</v>
      </c>
      <c r="AG432" s="55">
        <v>79303.839999999997</v>
      </c>
      <c r="AI432" s="55">
        <v>294404.90999999997</v>
      </c>
      <c r="AK432" s="55">
        <v>373708.75</v>
      </c>
      <c r="AL432" s="8">
        <f>+'Gen Rev'!AI433-'Gen Exp'!AE432+'Gen Exp'!AI432-AK432</f>
        <v>0</v>
      </c>
      <c r="AM432" s="21" t="str">
        <f>'Gen Rev'!A433</f>
        <v>New Washington</v>
      </c>
      <c r="AN432" s="67" t="str">
        <f t="shared" si="24"/>
        <v>New Washington</v>
      </c>
      <c r="AO432" s="67" t="b">
        <f t="shared" si="25"/>
        <v>1</v>
      </c>
    </row>
    <row r="433" spans="1:41" ht="12" customHeight="1" x14ac:dyDescent="0.2">
      <c r="A433" s="1" t="s">
        <v>724</v>
      </c>
      <c r="C433" s="1" t="s">
        <v>283</v>
      </c>
      <c r="E433" s="48">
        <v>207624.09</v>
      </c>
      <c r="F433" s="48"/>
      <c r="G433" s="48">
        <v>0</v>
      </c>
      <c r="H433" s="48"/>
      <c r="I433" s="48">
        <v>0</v>
      </c>
      <c r="J433" s="48"/>
      <c r="K433" s="48">
        <v>0</v>
      </c>
      <c r="L433" s="48"/>
      <c r="M433" s="48">
        <v>0</v>
      </c>
      <c r="N433" s="48"/>
      <c r="O433" s="48">
        <v>0</v>
      </c>
      <c r="P433" s="48"/>
      <c r="Q433" s="48">
        <v>139743.09</v>
      </c>
      <c r="R433" s="48"/>
      <c r="S433" s="48">
        <v>0</v>
      </c>
      <c r="T433" s="48"/>
      <c r="U433" s="48">
        <v>0</v>
      </c>
      <c r="V433" s="48"/>
      <c r="W433" s="48">
        <v>0</v>
      </c>
      <c r="X433" s="48"/>
      <c r="Y433" s="48">
        <v>15000</v>
      </c>
      <c r="Z433" s="48"/>
      <c r="AA433" s="48">
        <v>20000</v>
      </c>
      <c r="AB433" s="48"/>
      <c r="AC433" s="48">
        <v>0</v>
      </c>
      <c r="AD433" s="48"/>
      <c r="AE433" s="48">
        <f t="shared" si="26"/>
        <v>382367.18</v>
      </c>
      <c r="AG433" s="55">
        <v>-16702.37</v>
      </c>
      <c r="AI433" s="55">
        <v>28390.47</v>
      </c>
      <c r="AK433" s="55">
        <v>11688.1</v>
      </c>
      <c r="AL433" s="8">
        <f>+'Gen Rev'!AI434-'Gen Exp'!AE433+'Gen Exp'!AI433-AK433</f>
        <v>6.3664629124104977E-11</v>
      </c>
      <c r="AM433" s="21" t="str">
        <f>'Gen Rev'!A434</f>
        <v>New Waterford</v>
      </c>
      <c r="AN433" s="67" t="str">
        <f t="shared" si="24"/>
        <v>New Waterford</v>
      </c>
      <c r="AO433" s="67" t="b">
        <f t="shared" si="25"/>
        <v>1</v>
      </c>
    </row>
    <row r="434" spans="1:41" ht="12" customHeight="1" x14ac:dyDescent="0.2">
      <c r="A434" s="1" t="s">
        <v>310</v>
      </c>
      <c r="C434" s="1" t="s">
        <v>306</v>
      </c>
      <c r="E434" s="48">
        <v>6149</v>
      </c>
      <c r="F434" s="48"/>
      <c r="G434" s="48">
        <v>570</v>
      </c>
      <c r="H434" s="48"/>
      <c r="I434" s="48">
        <v>2200</v>
      </c>
      <c r="J434" s="48"/>
      <c r="K434" s="48">
        <v>0</v>
      </c>
      <c r="L434" s="48"/>
      <c r="M434" s="48">
        <v>9738</v>
      </c>
      <c r="N434" s="48"/>
      <c r="O434" s="48">
        <v>760</v>
      </c>
      <c r="P434" s="48"/>
      <c r="Q434" s="48">
        <v>12889</v>
      </c>
      <c r="R434" s="48"/>
      <c r="S434" s="48">
        <v>0</v>
      </c>
      <c r="T434" s="48"/>
      <c r="U434" s="48">
        <v>0</v>
      </c>
      <c r="V434" s="48"/>
      <c r="W434" s="48">
        <v>0</v>
      </c>
      <c r="X434" s="48"/>
      <c r="Y434" s="48">
        <v>0</v>
      </c>
      <c r="Z434" s="48"/>
      <c r="AA434" s="48">
        <v>0</v>
      </c>
      <c r="AB434" s="48"/>
      <c r="AC434" s="48">
        <v>0</v>
      </c>
      <c r="AD434" s="48"/>
      <c r="AE434" s="48">
        <f t="shared" si="26"/>
        <v>32306</v>
      </c>
      <c r="AF434" s="48"/>
      <c r="AG434" s="59"/>
      <c r="AH434" s="59"/>
      <c r="AI434" s="59"/>
      <c r="AJ434" s="59"/>
      <c r="AK434" s="59"/>
      <c r="AL434" s="8">
        <f>+'Gen Rev'!AI435-'Gen Exp'!AE434+'Gen Exp'!AI434-AK434</f>
        <v>-10915</v>
      </c>
      <c r="AM434" s="21" t="str">
        <f>'Gen Rev'!A435</f>
        <v>New Weston</v>
      </c>
      <c r="AN434" s="67" t="str">
        <f t="shared" si="24"/>
        <v>New Weston</v>
      </c>
      <c r="AO434" s="67" t="b">
        <f t="shared" si="25"/>
        <v>1</v>
      </c>
    </row>
    <row r="435" spans="1:41" ht="12" customHeight="1" x14ac:dyDescent="0.2">
      <c r="A435" s="1" t="s">
        <v>301</v>
      </c>
      <c r="C435" s="1" t="s">
        <v>293</v>
      </c>
      <c r="E435" s="48">
        <v>812968</v>
      </c>
      <c r="F435" s="48"/>
      <c r="G435" s="48">
        <v>2051</v>
      </c>
      <c r="H435" s="48"/>
      <c r="I435" s="48">
        <v>17514</v>
      </c>
      <c r="J435" s="48"/>
      <c r="K435" s="48">
        <v>0</v>
      </c>
      <c r="L435" s="48"/>
      <c r="M435" s="48">
        <v>130697</v>
      </c>
      <c r="N435" s="48"/>
      <c r="O435" s="48">
        <v>213199</v>
      </c>
      <c r="P435" s="48"/>
      <c r="Q435" s="48">
        <v>787359</v>
      </c>
      <c r="R435" s="48"/>
      <c r="S435" s="48">
        <v>0</v>
      </c>
      <c r="T435" s="48"/>
      <c r="U435" s="48">
        <v>0</v>
      </c>
      <c r="V435" s="48"/>
      <c r="W435" s="48">
        <v>0</v>
      </c>
      <c r="X435" s="48"/>
      <c r="Y435" s="48">
        <v>126223</v>
      </c>
      <c r="Z435" s="48"/>
      <c r="AA435" s="48">
        <v>0</v>
      </c>
      <c r="AB435" s="48"/>
      <c r="AC435" s="48">
        <v>0</v>
      </c>
      <c r="AD435" s="48"/>
      <c r="AE435" s="48">
        <f t="shared" si="26"/>
        <v>2090011</v>
      </c>
      <c r="AF435" s="48"/>
      <c r="AG435" s="59"/>
      <c r="AH435" s="59"/>
      <c r="AI435" s="59"/>
      <c r="AJ435" s="59"/>
      <c r="AK435" s="59"/>
      <c r="AL435" s="8">
        <f>+'Gen Rev'!AI436-'Gen Exp'!AE435+'Gen Exp'!AI435-AK435</f>
        <v>167097</v>
      </c>
      <c r="AM435" s="21" t="str">
        <f>'Gen Rev'!A436</f>
        <v>Newburgh Heights</v>
      </c>
      <c r="AN435" s="67" t="str">
        <f t="shared" si="24"/>
        <v>Newburgh Heights</v>
      </c>
      <c r="AO435" s="67" t="b">
        <f t="shared" si="25"/>
        <v>1</v>
      </c>
    </row>
    <row r="436" spans="1:41" x14ac:dyDescent="0.2">
      <c r="A436" s="1" t="s">
        <v>525</v>
      </c>
      <c r="C436" s="1" t="s">
        <v>521</v>
      </c>
      <c r="E436" s="48">
        <v>514606</v>
      </c>
      <c r="F436" s="48"/>
      <c r="G436" s="48">
        <v>876</v>
      </c>
      <c r="H436" s="48"/>
      <c r="I436" s="48">
        <v>25936</v>
      </c>
      <c r="J436" s="48"/>
      <c r="K436" s="48">
        <v>0</v>
      </c>
      <c r="L436" s="48"/>
      <c r="M436" s="48">
        <v>2710</v>
      </c>
      <c r="N436" s="48"/>
      <c r="O436" s="48">
        <v>0</v>
      </c>
      <c r="P436" s="48"/>
      <c r="Q436" s="48">
        <v>280041</v>
      </c>
      <c r="R436" s="48"/>
      <c r="S436" s="48">
        <v>0</v>
      </c>
      <c r="T436" s="48"/>
      <c r="U436" s="48">
        <v>0</v>
      </c>
      <c r="V436" s="48"/>
      <c r="W436" s="48">
        <v>0</v>
      </c>
      <c r="X436" s="48"/>
      <c r="Y436" s="48">
        <v>0</v>
      </c>
      <c r="Z436" s="48"/>
      <c r="AA436" s="48">
        <v>0</v>
      </c>
      <c r="AB436" s="48"/>
      <c r="AC436" s="48">
        <v>0</v>
      </c>
      <c r="AD436" s="48"/>
      <c r="AE436" s="48">
        <f t="shared" si="26"/>
        <v>824169</v>
      </c>
      <c r="AF436" s="48"/>
      <c r="AG436" s="59"/>
      <c r="AH436" s="59"/>
      <c r="AI436" s="59"/>
      <c r="AJ436" s="59"/>
      <c r="AK436" s="59"/>
      <c r="AL436" s="8">
        <f>+'Gen Rev'!AI437-'Gen Exp'!AE436+'Gen Exp'!AI436-AK436</f>
        <v>481154</v>
      </c>
      <c r="AM436" s="21" t="str">
        <f>'Gen Rev'!A437</f>
        <v>Newcomerstown</v>
      </c>
      <c r="AN436" s="67" t="str">
        <f t="shared" si="24"/>
        <v>Newcomerstown</v>
      </c>
      <c r="AO436" s="67" t="b">
        <f t="shared" si="25"/>
        <v>1</v>
      </c>
    </row>
    <row r="437" spans="1:41" x14ac:dyDescent="0.2">
      <c r="A437" s="1" t="s">
        <v>817</v>
      </c>
      <c r="C437" s="1" t="s">
        <v>518</v>
      </c>
      <c r="E437" s="48">
        <v>1007543</v>
      </c>
      <c r="F437" s="48"/>
      <c r="G437" s="48">
        <v>0</v>
      </c>
      <c r="H437" s="48"/>
      <c r="I437" s="48">
        <v>0</v>
      </c>
      <c r="J437" s="48"/>
      <c r="K437" s="48">
        <v>23218</v>
      </c>
      <c r="L437" s="48"/>
      <c r="M437" s="48">
        <v>0</v>
      </c>
      <c r="N437" s="48"/>
      <c r="O437" s="48">
        <v>0</v>
      </c>
      <c r="P437" s="48"/>
      <c r="Q437" s="48">
        <v>1334728</v>
      </c>
      <c r="R437" s="48"/>
      <c r="S437" s="48">
        <v>0</v>
      </c>
      <c r="T437" s="48"/>
      <c r="U437" s="48">
        <v>0</v>
      </c>
      <c r="V437" s="48"/>
      <c r="W437" s="48">
        <v>0</v>
      </c>
      <c r="X437" s="48"/>
      <c r="Y437" s="48">
        <v>53411</v>
      </c>
      <c r="Z437" s="48"/>
      <c r="AA437" s="48">
        <v>3000</v>
      </c>
      <c r="AB437" s="48"/>
      <c r="AC437" s="48">
        <v>0</v>
      </c>
      <c r="AD437" s="48"/>
      <c r="AE437" s="48">
        <f t="shared" si="26"/>
        <v>2421900</v>
      </c>
      <c r="AF437" s="48"/>
      <c r="AG437" s="59"/>
      <c r="AH437" s="59"/>
      <c r="AI437" s="59"/>
      <c r="AJ437" s="59"/>
      <c r="AK437" s="59"/>
      <c r="AL437" s="8">
        <f>+'Gen Rev'!AI438-'Gen Exp'!AE437+'Gen Exp'!AI437-AK437</f>
        <v>-61884</v>
      </c>
      <c r="AM437" s="21" t="str">
        <f>'Gen Rev'!A438</f>
        <v>Newton Falls</v>
      </c>
      <c r="AN437" s="67" t="str">
        <f t="shared" si="24"/>
        <v>Newton Falls</v>
      </c>
      <c r="AO437" s="67" t="b">
        <f t="shared" si="25"/>
        <v>1</v>
      </c>
    </row>
    <row r="438" spans="1:41" x14ac:dyDescent="0.2">
      <c r="A438" s="1" t="s">
        <v>91</v>
      </c>
      <c r="C438" s="1" t="s">
        <v>351</v>
      </c>
      <c r="E438" s="48">
        <v>721196.83</v>
      </c>
      <c r="F438" s="48"/>
      <c r="G438" s="48">
        <v>0</v>
      </c>
      <c r="H438" s="48"/>
      <c r="I438" s="48">
        <v>0</v>
      </c>
      <c r="J438" s="48"/>
      <c r="K438" s="48">
        <v>0</v>
      </c>
      <c r="L438" s="48"/>
      <c r="M438" s="48">
        <v>115199.92</v>
      </c>
      <c r="N438" s="48"/>
      <c r="O438" s="48">
        <v>180109.56</v>
      </c>
      <c r="P438" s="48"/>
      <c r="Q438" s="48">
        <v>599911.92000000004</v>
      </c>
      <c r="R438" s="48"/>
      <c r="S438" s="48">
        <v>0</v>
      </c>
      <c r="T438" s="48"/>
      <c r="U438" s="48">
        <v>72389.919999999998</v>
      </c>
      <c r="V438" s="48"/>
      <c r="W438" s="48">
        <v>20000</v>
      </c>
      <c r="X438" s="48"/>
      <c r="Y438" s="48">
        <v>397013.09</v>
      </c>
      <c r="Z438" s="48"/>
      <c r="AA438" s="48">
        <v>191203.38</v>
      </c>
      <c r="AB438" s="48"/>
      <c r="AC438" s="48">
        <v>24399</v>
      </c>
      <c r="AD438" s="48"/>
      <c r="AE438" s="48">
        <f t="shared" si="26"/>
        <v>2321423.6199999996</v>
      </c>
      <c r="AG438" s="55">
        <v>-95257.88</v>
      </c>
      <c r="AI438" s="55">
        <v>1188302.28</v>
      </c>
      <c r="AK438" s="55">
        <v>1093044.3999999999</v>
      </c>
      <c r="AL438" s="8">
        <f>+'Gen Rev'!AI439-'Gen Exp'!AE438+'Gen Exp'!AI438-AK438</f>
        <v>0</v>
      </c>
      <c r="AM438" s="21" t="str">
        <f>'Gen Rev'!A439</f>
        <v>Newtown</v>
      </c>
      <c r="AN438" s="67" t="str">
        <f t="shared" si="24"/>
        <v>Newtown</v>
      </c>
      <c r="AO438" s="67" t="b">
        <f t="shared" si="25"/>
        <v>1</v>
      </c>
    </row>
    <row r="439" spans="1:41" x14ac:dyDescent="0.2">
      <c r="A439" s="1" t="s">
        <v>50</v>
      </c>
      <c r="C439" s="1" t="s">
        <v>319</v>
      </c>
      <c r="E439" s="48">
        <v>7620</v>
      </c>
      <c r="F439" s="48"/>
      <c r="G439" s="48">
        <v>0</v>
      </c>
      <c r="H439" s="48"/>
      <c r="I439" s="48">
        <v>421.76</v>
      </c>
      <c r="J439" s="48"/>
      <c r="K439" s="48">
        <v>0</v>
      </c>
      <c r="L439" s="48"/>
      <c r="M439" s="48">
        <v>360</v>
      </c>
      <c r="N439" s="48"/>
      <c r="O439" s="48">
        <v>21756.54</v>
      </c>
      <c r="P439" s="48"/>
      <c r="Q439" s="48">
        <v>58327.5</v>
      </c>
      <c r="R439" s="48"/>
      <c r="S439" s="48">
        <v>0</v>
      </c>
      <c r="T439" s="48"/>
      <c r="U439" s="48">
        <v>0</v>
      </c>
      <c r="V439" s="48"/>
      <c r="W439" s="48">
        <v>0</v>
      </c>
      <c r="X439" s="48"/>
      <c r="Y439" s="48">
        <v>0</v>
      </c>
      <c r="Z439" s="48"/>
      <c r="AA439" s="48">
        <v>0</v>
      </c>
      <c r="AB439" s="48"/>
      <c r="AC439" s="48">
        <v>0</v>
      </c>
      <c r="AD439" s="48"/>
      <c r="AE439" s="48">
        <f t="shared" si="26"/>
        <v>88485.8</v>
      </c>
      <c r="AG439" s="55">
        <v>-36927.46</v>
      </c>
      <c r="AI439" s="55">
        <v>57812.83</v>
      </c>
      <c r="AK439" s="55">
        <v>20885.37</v>
      </c>
      <c r="AL439" s="8">
        <f>+'Gen Rev'!AI440-'Gen Exp'!AE439+'Gen Exp'!AI439-AK439</f>
        <v>0</v>
      </c>
      <c r="AM439" s="21" t="str">
        <f>'Gen Rev'!A440</f>
        <v>Ney</v>
      </c>
      <c r="AN439" s="67" t="str">
        <f t="shared" si="24"/>
        <v>Ney</v>
      </c>
      <c r="AO439" s="67" t="b">
        <f t="shared" si="25"/>
        <v>1</v>
      </c>
    </row>
    <row r="440" spans="1:41" x14ac:dyDescent="0.2">
      <c r="A440" s="1" t="s">
        <v>562</v>
      </c>
      <c r="C440" s="1" t="s">
        <v>558</v>
      </c>
      <c r="E440" s="48">
        <v>777328</v>
      </c>
      <c r="F440" s="48"/>
      <c r="G440" s="48">
        <v>74445</v>
      </c>
      <c r="H440" s="48"/>
      <c r="I440" s="48">
        <v>0</v>
      </c>
      <c r="J440" s="48"/>
      <c r="K440" s="48">
        <v>1691</v>
      </c>
      <c r="L440" s="48"/>
      <c r="M440" s="48">
        <v>0</v>
      </c>
      <c r="N440" s="48"/>
      <c r="O440" s="48">
        <v>0</v>
      </c>
      <c r="P440" s="48"/>
      <c r="Q440" s="48">
        <v>287754</v>
      </c>
      <c r="R440" s="48"/>
      <c r="S440" s="48">
        <v>0</v>
      </c>
      <c r="T440" s="48"/>
      <c r="U440" s="48">
        <v>0</v>
      </c>
      <c r="V440" s="48"/>
      <c r="W440" s="48">
        <v>0</v>
      </c>
      <c r="X440" s="48"/>
      <c r="Y440" s="48">
        <v>196400</v>
      </c>
      <c r="Z440" s="48"/>
      <c r="AA440" s="48">
        <v>0</v>
      </c>
      <c r="AB440" s="48"/>
      <c r="AC440" s="48">
        <v>0</v>
      </c>
      <c r="AD440" s="48"/>
      <c r="AE440" s="48">
        <f t="shared" si="26"/>
        <v>1337618</v>
      </c>
      <c r="AF440" s="48"/>
      <c r="AG440" s="59"/>
      <c r="AH440" s="59"/>
      <c r="AI440" s="59"/>
      <c r="AJ440" s="59"/>
      <c r="AK440" s="59"/>
      <c r="AL440" s="8">
        <f>+'Gen Rev'!AI441-'Gen Exp'!AE440+'Gen Exp'!AI440-AK440</f>
        <v>16032</v>
      </c>
      <c r="AM440" s="21" t="str">
        <f>'Gen Rev'!A441</f>
        <v>North Baltimore</v>
      </c>
      <c r="AN440" s="67" t="str">
        <f t="shared" si="24"/>
        <v>North Baltimore</v>
      </c>
      <c r="AO440" s="67" t="b">
        <f t="shared" si="25"/>
        <v>1</v>
      </c>
    </row>
    <row r="441" spans="1:41" x14ac:dyDescent="0.2">
      <c r="A441" s="1" t="s">
        <v>92</v>
      </c>
      <c r="C441" s="1" t="s">
        <v>351</v>
      </c>
      <c r="E441" s="48">
        <v>121552.83</v>
      </c>
      <c r="F441" s="48"/>
      <c r="G441" s="48">
        <v>1068.02</v>
      </c>
      <c r="H441" s="48"/>
      <c r="I441" s="48">
        <v>8483.02</v>
      </c>
      <c r="J441" s="48"/>
      <c r="K441" s="48">
        <v>4081.13</v>
      </c>
      <c r="L441" s="48"/>
      <c r="M441" s="48">
        <v>9489.51</v>
      </c>
      <c r="N441" s="48"/>
      <c r="O441" s="48">
        <v>0</v>
      </c>
      <c r="P441" s="48"/>
      <c r="Q441" s="48">
        <v>138523.43</v>
      </c>
      <c r="R441" s="48"/>
      <c r="S441" s="48">
        <v>0</v>
      </c>
      <c r="T441" s="48"/>
      <c r="U441" s="48">
        <v>0</v>
      </c>
      <c r="V441" s="48"/>
      <c r="W441" s="48">
        <v>0</v>
      </c>
      <c r="X441" s="48"/>
      <c r="Y441" s="48">
        <v>89389.3</v>
      </c>
      <c r="Z441" s="48"/>
      <c r="AA441" s="48">
        <v>0</v>
      </c>
      <c r="AB441" s="48"/>
      <c r="AC441" s="48">
        <v>6994.43</v>
      </c>
      <c r="AD441" s="48"/>
      <c r="AE441" s="48">
        <f t="shared" si="26"/>
        <v>379581.67</v>
      </c>
      <c r="AG441" s="55">
        <v>5450.89</v>
      </c>
      <c r="AI441" s="55">
        <v>748964.8</v>
      </c>
      <c r="AK441" s="55">
        <v>754415.69</v>
      </c>
      <c r="AL441" s="8">
        <f>+'Gen Rev'!AI442-'Gen Exp'!AE441+'Gen Exp'!AI441-AK441</f>
        <v>0</v>
      </c>
      <c r="AM441" s="21" t="str">
        <f>'Gen Rev'!A442</f>
        <v>North Bend</v>
      </c>
      <c r="AN441" s="67" t="str">
        <f t="shared" si="24"/>
        <v>North Bend</v>
      </c>
      <c r="AO441" s="67" t="b">
        <f t="shared" si="25"/>
        <v>1</v>
      </c>
    </row>
    <row r="442" spans="1:41" x14ac:dyDescent="0.2">
      <c r="A442" s="1" t="s">
        <v>388</v>
      </c>
      <c r="C442" s="1" t="s">
        <v>386</v>
      </c>
      <c r="E442" s="48">
        <v>9736.7199999999993</v>
      </c>
      <c r="F442" s="48"/>
      <c r="G442" s="48">
        <v>0</v>
      </c>
      <c r="H442" s="48"/>
      <c r="I442" s="48">
        <v>5194.96</v>
      </c>
      <c r="J442" s="48"/>
      <c r="K442" s="48">
        <v>5173.92</v>
      </c>
      <c r="L442" s="48"/>
      <c r="M442" s="48">
        <v>19526.55</v>
      </c>
      <c r="N442" s="48"/>
      <c r="O442" s="48">
        <v>0</v>
      </c>
      <c r="P442" s="48"/>
      <c r="Q442" s="48">
        <v>60091.03</v>
      </c>
      <c r="R442" s="48"/>
      <c r="S442" s="48">
        <v>0</v>
      </c>
      <c r="T442" s="48"/>
      <c r="U442" s="48">
        <v>0</v>
      </c>
      <c r="V442" s="48"/>
      <c r="W442" s="48">
        <v>0</v>
      </c>
      <c r="X442" s="48"/>
      <c r="Y442" s="48">
        <v>0</v>
      </c>
      <c r="Z442" s="48"/>
      <c r="AA442" s="48">
        <v>0</v>
      </c>
      <c r="AB442" s="48"/>
      <c r="AC442" s="48">
        <v>0</v>
      </c>
      <c r="AD442" s="48"/>
      <c r="AE442" s="48">
        <f t="shared" si="26"/>
        <v>99723.18</v>
      </c>
      <c r="AG442" s="55">
        <v>-25015.5</v>
      </c>
      <c r="AI442" s="55">
        <v>87381.79</v>
      </c>
      <c r="AK442" s="55">
        <v>62366.29</v>
      </c>
      <c r="AL442" s="8">
        <f>+'Gen Rev'!AI443-'Gen Exp'!AE442+'Gen Exp'!AI442-AK442</f>
        <v>0</v>
      </c>
      <c r="AM442" s="21" t="str">
        <f>'Gen Rev'!A443</f>
        <v>North Fairfield</v>
      </c>
      <c r="AN442" s="67" t="str">
        <f t="shared" si="24"/>
        <v>North Fairfield</v>
      </c>
      <c r="AO442" s="67" t="b">
        <f t="shared" si="25"/>
        <v>1</v>
      </c>
    </row>
    <row r="443" spans="1:41" x14ac:dyDescent="0.2">
      <c r="A443" s="1" t="s">
        <v>275</v>
      </c>
      <c r="C443" s="1" t="s">
        <v>274</v>
      </c>
      <c r="E443" s="48">
        <v>174583.31</v>
      </c>
      <c r="F443" s="48"/>
      <c r="G443" s="48">
        <v>0</v>
      </c>
      <c r="H443" s="48"/>
      <c r="I443" s="48">
        <v>4778.8999999999996</v>
      </c>
      <c r="J443" s="48"/>
      <c r="K443" s="48">
        <v>0</v>
      </c>
      <c r="L443" s="48"/>
      <c r="M443" s="48">
        <v>0</v>
      </c>
      <c r="N443" s="48"/>
      <c r="O443" s="48">
        <v>0</v>
      </c>
      <c r="P443" s="48"/>
      <c r="Q443" s="48">
        <v>89750.21</v>
      </c>
      <c r="R443" s="48"/>
      <c r="S443" s="48">
        <v>0</v>
      </c>
      <c r="T443" s="48"/>
      <c r="U443" s="48">
        <v>0</v>
      </c>
      <c r="V443" s="48"/>
      <c r="W443" s="48">
        <v>0</v>
      </c>
      <c r="X443" s="48"/>
      <c r="Y443" s="48">
        <v>0</v>
      </c>
      <c r="Z443" s="48"/>
      <c r="AA443" s="48">
        <v>0</v>
      </c>
      <c r="AB443" s="48"/>
      <c r="AC443" s="48">
        <v>0</v>
      </c>
      <c r="AD443" s="48"/>
      <c r="AE443" s="48">
        <f t="shared" si="26"/>
        <v>269112.42</v>
      </c>
      <c r="AG443" s="55">
        <v>-7582.42</v>
      </c>
      <c r="AI443" s="55">
        <v>21639.16</v>
      </c>
      <c r="AK443" s="55">
        <v>14056.74</v>
      </c>
      <c r="AL443" s="8">
        <f>+'Gen Rev'!AI444-'Gen Exp'!AE443+'Gen Exp'!AI443-AK443</f>
        <v>4.5474735088646412E-11</v>
      </c>
      <c r="AM443" s="21" t="str">
        <f>'Gen Rev'!A444</f>
        <v>North Hampton</v>
      </c>
      <c r="AN443" s="67" t="str">
        <f t="shared" si="24"/>
        <v>North Hampton</v>
      </c>
      <c r="AO443" s="67" t="b">
        <f t="shared" si="25"/>
        <v>1</v>
      </c>
    </row>
    <row r="444" spans="1:41" x14ac:dyDescent="0.2">
      <c r="A444" s="1" t="s">
        <v>635</v>
      </c>
      <c r="C444" s="1" t="s">
        <v>624</v>
      </c>
      <c r="E444" s="48">
        <v>475532.36</v>
      </c>
      <c r="F444" s="48"/>
      <c r="G444" s="48">
        <v>29693.42</v>
      </c>
      <c r="H444" s="48"/>
      <c r="I444" s="48">
        <v>0</v>
      </c>
      <c r="J444" s="48"/>
      <c r="K444" s="48">
        <v>3640.59</v>
      </c>
      <c r="L444" s="48"/>
      <c r="M444" s="48">
        <v>0</v>
      </c>
      <c r="N444" s="48"/>
      <c r="O444" s="48">
        <v>0</v>
      </c>
      <c r="P444" s="48"/>
      <c r="Q444" s="48">
        <v>411213.96</v>
      </c>
      <c r="R444" s="48"/>
      <c r="S444" s="48">
        <v>0</v>
      </c>
      <c r="T444" s="48"/>
      <c r="U444" s="48">
        <v>0</v>
      </c>
      <c r="V444" s="48"/>
      <c r="W444" s="48">
        <v>0</v>
      </c>
      <c r="X444" s="48"/>
      <c r="Y444" s="48">
        <v>45837.85</v>
      </c>
      <c r="Z444" s="48"/>
      <c r="AA444" s="48">
        <v>25400</v>
      </c>
      <c r="AB444" s="48"/>
      <c r="AC444" s="48">
        <v>0</v>
      </c>
      <c r="AD444" s="48"/>
      <c r="AE444" s="48">
        <f t="shared" si="26"/>
        <v>991318.18</v>
      </c>
      <c r="AG444" s="55">
        <v>24975.1</v>
      </c>
      <c r="AI444" s="55">
        <v>492847</v>
      </c>
      <c r="AK444" s="55">
        <v>517822.1</v>
      </c>
      <c r="AL444" s="8">
        <f>+'Gen Rev'!AI445-'Gen Exp'!AE444+'Gen Exp'!AI444-AK444</f>
        <v>0</v>
      </c>
      <c r="AM444" s="21" t="str">
        <f>'Gen Rev'!A445</f>
        <v>North Kingsville</v>
      </c>
      <c r="AN444" s="67" t="str">
        <f t="shared" si="24"/>
        <v>North Kingsville</v>
      </c>
      <c r="AO444" s="67" t="b">
        <f t="shared" si="25"/>
        <v>1</v>
      </c>
    </row>
    <row r="445" spans="1:41" x14ac:dyDescent="0.2">
      <c r="A445" s="1" t="s">
        <v>271</v>
      </c>
      <c r="C445" s="1" t="s">
        <v>269</v>
      </c>
      <c r="E445" s="48">
        <v>124733.43</v>
      </c>
      <c r="F445" s="48"/>
      <c r="G445" s="48">
        <v>46.62</v>
      </c>
      <c r="H445" s="48"/>
      <c r="I445" s="48">
        <v>5393.71</v>
      </c>
      <c r="J445" s="48"/>
      <c r="K445" s="48">
        <v>0</v>
      </c>
      <c r="L445" s="48"/>
      <c r="M445" s="48">
        <v>9000</v>
      </c>
      <c r="N445" s="48"/>
      <c r="O445" s="48">
        <v>0</v>
      </c>
      <c r="P445" s="48"/>
      <c r="Q445" s="48">
        <v>145623.48000000001</v>
      </c>
      <c r="R445" s="48"/>
      <c r="S445" s="48">
        <v>9098</v>
      </c>
      <c r="T445" s="48"/>
      <c r="U445" s="48">
        <v>0</v>
      </c>
      <c r="V445" s="48"/>
      <c r="W445" s="48">
        <v>0</v>
      </c>
      <c r="X445" s="48"/>
      <c r="Y445" s="48">
        <v>0</v>
      </c>
      <c r="Z445" s="48"/>
      <c r="AA445" s="48">
        <v>0</v>
      </c>
      <c r="AB445" s="48"/>
      <c r="AC445" s="48">
        <v>7636.72</v>
      </c>
      <c r="AD445" s="48"/>
      <c r="AE445" s="48">
        <f t="shared" si="26"/>
        <v>301531.95999999996</v>
      </c>
      <c r="AG445" s="55">
        <v>48507.06</v>
      </c>
      <c r="AI445" s="55">
        <v>376602.44</v>
      </c>
      <c r="AK445" s="55">
        <v>425109.5</v>
      </c>
      <c r="AL445" s="8">
        <f>+'Gen Rev'!AI446-'Gen Exp'!AE445+'Gen Exp'!AI445-AK445</f>
        <v>0</v>
      </c>
      <c r="AM445" s="21" t="str">
        <f>'Gen Rev'!A446</f>
        <v>North Lewisburg</v>
      </c>
      <c r="AN445" s="67" t="str">
        <f t="shared" si="24"/>
        <v>North Lewisburg</v>
      </c>
      <c r="AO445" s="67" t="b">
        <f t="shared" si="25"/>
        <v>1</v>
      </c>
    </row>
    <row r="446" spans="1:41" x14ac:dyDescent="0.2">
      <c r="A446" s="1" t="s">
        <v>116</v>
      </c>
      <c r="C446" s="1" t="s">
        <v>399</v>
      </c>
      <c r="E446" s="48">
        <v>322076.44</v>
      </c>
      <c r="F446" s="48"/>
      <c r="G446" s="48">
        <v>74704</v>
      </c>
      <c r="H446" s="48"/>
      <c r="I446" s="48">
        <v>830021.11</v>
      </c>
      <c r="J446" s="48"/>
      <c r="K446" s="48">
        <v>22026.52</v>
      </c>
      <c r="L446" s="48"/>
      <c r="M446" s="48">
        <v>270335.15999999997</v>
      </c>
      <c r="N446" s="48"/>
      <c r="O446" s="48">
        <v>0</v>
      </c>
      <c r="P446" s="48"/>
      <c r="Q446" s="48">
        <v>476700.63</v>
      </c>
      <c r="R446" s="48"/>
      <c r="S446" s="48">
        <v>0</v>
      </c>
      <c r="T446" s="48"/>
      <c r="U446" s="48">
        <v>0</v>
      </c>
      <c r="V446" s="48"/>
      <c r="W446" s="48">
        <v>0</v>
      </c>
      <c r="X446" s="48"/>
      <c r="Y446" s="48">
        <v>665312.5</v>
      </c>
      <c r="Z446" s="48"/>
      <c r="AA446" s="48">
        <v>0</v>
      </c>
      <c r="AB446" s="48"/>
      <c r="AC446" s="48">
        <v>0</v>
      </c>
      <c r="AD446" s="48"/>
      <c r="AE446" s="48">
        <f t="shared" si="26"/>
        <v>2661176.36</v>
      </c>
      <c r="AG446" s="55">
        <v>-124137.2</v>
      </c>
      <c r="AI446" s="55">
        <v>6313357.1900000004</v>
      </c>
      <c r="AK446" s="55">
        <v>6189219.9900000002</v>
      </c>
      <c r="AL446" s="8">
        <f>+'Gen Rev'!AI447-'Gen Exp'!AE446+'Gen Exp'!AI446-AK446</f>
        <v>0</v>
      </c>
      <c r="AM446" s="21" t="str">
        <f>'Gen Rev'!A447</f>
        <v>North Perry</v>
      </c>
      <c r="AN446" s="67" t="str">
        <f t="shared" si="24"/>
        <v>North Perry</v>
      </c>
      <c r="AO446" s="67" t="b">
        <f t="shared" si="25"/>
        <v>1</v>
      </c>
    </row>
    <row r="447" spans="1:41" ht="12.75" x14ac:dyDescent="0.2">
      <c r="A447" s="1" t="s">
        <v>714</v>
      </c>
      <c r="C447" s="1" t="s">
        <v>686</v>
      </c>
      <c r="D447" s="11"/>
      <c r="E447" s="48">
        <v>806287</v>
      </c>
      <c r="F447" s="48"/>
      <c r="G447" s="48">
        <v>0</v>
      </c>
      <c r="H447" s="48"/>
      <c r="I447" s="48">
        <v>0</v>
      </c>
      <c r="J447" s="48"/>
      <c r="K447" s="48">
        <v>158865</v>
      </c>
      <c r="L447" s="48"/>
      <c r="M447" s="48">
        <v>132455</v>
      </c>
      <c r="N447" s="48"/>
      <c r="O447" s="48">
        <v>0</v>
      </c>
      <c r="P447" s="48"/>
      <c r="Q447" s="48">
        <v>630364</v>
      </c>
      <c r="R447" s="48"/>
      <c r="S447" s="48">
        <v>53640</v>
      </c>
      <c r="T447" s="48"/>
      <c r="U447" s="48">
        <v>0</v>
      </c>
      <c r="V447" s="48"/>
      <c r="W447" s="48">
        <v>0</v>
      </c>
      <c r="X447" s="48"/>
      <c r="Y447" s="48">
        <v>0</v>
      </c>
      <c r="Z447" s="48"/>
      <c r="AA447" s="48">
        <v>0</v>
      </c>
      <c r="AB447" s="48"/>
      <c r="AC447" s="48">
        <v>0</v>
      </c>
      <c r="AD447" s="48"/>
      <c r="AE447" s="48">
        <f t="shared" si="26"/>
        <v>1781611</v>
      </c>
      <c r="AF447" s="48"/>
      <c r="AG447" s="59"/>
      <c r="AH447" s="59"/>
      <c r="AI447" s="59"/>
      <c r="AJ447" s="59"/>
      <c r="AK447" s="59"/>
      <c r="AL447" s="8">
        <f>+'Gen Rev'!AI448-'Gen Exp'!AE447+'Gen Exp'!AI447-AK447</f>
        <v>856778</v>
      </c>
      <c r="AM447" s="21" t="str">
        <f>'Gen Rev'!A448</f>
        <v>North Randall</v>
      </c>
      <c r="AN447" s="67" t="str">
        <f t="shared" si="24"/>
        <v>North Randall</v>
      </c>
      <c r="AO447" s="67" t="b">
        <f t="shared" si="25"/>
        <v>1</v>
      </c>
    </row>
    <row r="448" spans="1:41" x14ac:dyDescent="0.2">
      <c r="A448" s="1" t="s">
        <v>291</v>
      </c>
      <c r="C448" s="1" t="s">
        <v>289</v>
      </c>
      <c r="E448" s="48">
        <v>5642</v>
      </c>
      <c r="F448" s="48"/>
      <c r="G448" s="48">
        <v>242</v>
      </c>
      <c r="H448" s="48"/>
      <c r="I448" s="48">
        <v>0</v>
      </c>
      <c r="J448" s="48"/>
      <c r="K448" s="48">
        <v>0</v>
      </c>
      <c r="L448" s="48"/>
      <c r="M448" s="48">
        <v>1215</v>
      </c>
      <c r="N448" s="48"/>
      <c r="O448" s="48">
        <v>0</v>
      </c>
      <c r="P448" s="48"/>
      <c r="Q448" s="48">
        <v>13386</v>
      </c>
      <c r="R448" s="48"/>
      <c r="S448" s="48">
        <v>0</v>
      </c>
      <c r="T448" s="48"/>
      <c r="U448" s="48">
        <v>0</v>
      </c>
      <c r="V448" s="48"/>
      <c r="W448" s="48">
        <v>0</v>
      </c>
      <c r="X448" s="48"/>
      <c r="Y448" s="48">
        <v>0</v>
      </c>
      <c r="Z448" s="48"/>
      <c r="AA448" s="48">
        <v>0</v>
      </c>
      <c r="AB448" s="48"/>
      <c r="AC448" s="48">
        <v>0</v>
      </c>
      <c r="AD448" s="48"/>
      <c r="AE448" s="48">
        <f t="shared" si="26"/>
        <v>20485</v>
      </c>
      <c r="AF448" s="48"/>
      <c r="AG448" s="59"/>
      <c r="AH448" s="59"/>
      <c r="AI448" s="59"/>
      <c r="AJ448" s="59"/>
      <c r="AK448" s="59"/>
      <c r="AL448" s="8">
        <f>+'Gen Rev'!AI449-'Gen Exp'!AE448+'Gen Exp'!AI448-AK448</f>
        <v>-6670</v>
      </c>
      <c r="AM448" s="21" t="str">
        <f>'Gen Rev'!A449</f>
        <v>North Robinson</v>
      </c>
      <c r="AN448" s="67" t="str">
        <f t="shared" si="24"/>
        <v>North Robinson</v>
      </c>
      <c r="AO448" s="67" t="b">
        <f t="shared" si="25"/>
        <v>1</v>
      </c>
    </row>
    <row r="449" spans="1:41" x14ac:dyDescent="0.2">
      <c r="A449" s="1" t="s">
        <v>311</v>
      </c>
      <c r="C449" s="1" t="s">
        <v>306</v>
      </c>
      <c r="E449" s="48">
        <v>6615</v>
      </c>
      <c r="F449" s="48"/>
      <c r="G449" s="48">
        <v>0</v>
      </c>
      <c r="H449" s="48"/>
      <c r="I449" s="48">
        <v>26132</v>
      </c>
      <c r="J449" s="48"/>
      <c r="K449" s="48">
        <v>5306</v>
      </c>
      <c r="L449" s="48"/>
      <c r="M449" s="48">
        <v>4624</v>
      </c>
      <c r="N449" s="48"/>
      <c r="O449" s="48">
        <v>0</v>
      </c>
      <c r="P449" s="48"/>
      <c r="Q449" s="48">
        <v>44338</v>
      </c>
      <c r="R449" s="48"/>
      <c r="S449" s="48">
        <v>0</v>
      </c>
      <c r="T449" s="48"/>
      <c r="U449" s="48">
        <v>0</v>
      </c>
      <c r="V449" s="48"/>
      <c r="W449" s="48">
        <v>0</v>
      </c>
      <c r="X449" s="48"/>
      <c r="Y449" s="48">
        <v>5739</v>
      </c>
      <c r="Z449" s="48"/>
      <c r="AA449" s="48">
        <v>0</v>
      </c>
      <c r="AB449" s="48"/>
      <c r="AC449" s="48">
        <v>0</v>
      </c>
      <c r="AD449" s="48"/>
      <c r="AE449" s="48">
        <f t="shared" si="26"/>
        <v>92754</v>
      </c>
      <c r="AF449" s="48"/>
      <c r="AG449" s="59"/>
      <c r="AH449" s="59"/>
      <c r="AI449" s="59"/>
      <c r="AJ449" s="59"/>
      <c r="AK449" s="59"/>
      <c r="AL449" s="8">
        <f>+'Gen Rev'!AI450-'Gen Exp'!AE449+'Gen Exp'!AI449-AK449</f>
        <v>-27106</v>
      </c>
      <c r="AM449" s="21" t="str">
        <f>'Gen Rev'!A450</f>
        <v xml:space="preserve">North Star </v>
      </c>
      <c r="AN449" s="67" t="str">
        <f t="shared" si="24"/>
        <v xml:space="preserve">North Star </v>
      </c>
      <c r="AO449" s="67" t="b">
        <f t="shared" si="25"/>
        <v>1</v>
      </c>
    </row>
    <row r="450" spans="1:41" x14ac:dyDescent="0.2">
      <c r="A450" s="1" t="s">
        <v>162</v>
      </c>
      <c r="C450" s="1" t="s">
        <v>450</v>
      </c>
      <c r="E450" s="48">
        <v>939.66</v>
      </c>
      <c r="F450" s="48"/>
      <c r="G450" s="48">
        <v>0</v>
      </c>
      <c r="H450" s="48"/>
      <c r="I450" s="48">
        <v>4278.9399999999996</v>
      </c>
      <c r="J450" s="48"/>
      <c r="K450" s="48">
        <v>0</v>
      </c>
      <c r="L450" s="48"/>
      <c r="M450" s="48">
        <v>0</v>
      </c>
      <c r="N450" s="48"/>
      <c r="O450" s="48">
        <v>0</v>
      </c>
      <c r="P450" s="48"/>
      <c r="Q450" s="48">
        <v>12451.58</v>
      </c>
      <c r="R450" s="48"/>
      <c r="S450" s="48">
        <v>0</v>
      </c>
      <c r="T450" s="48"/>
      <c r="U450" s="48">
        <v>0</v>
      </c>
      <c r="V450" s="48"/>
      <c r="W450" s="48">
        <v>0</v>
      </c>
      <c r="X450" s="48"/>
      <c r="Y450" s="48">
        <v>0</v>
      </c>
      <c r="Z450" s="48"/>
      <c r="AA450" s="48">
        <v>0</v>
      </c>
      <c r="AB450" s="48"/>
      <c r="AC450" s="48">
        <v>60</v>
      </c>
      <c r="AD450" s="48"/>
      <c r="AE450" s="48">
        <f t="shared" si="26"/>
        <v>17730.18</v>
      </c>
      <c r="AG450" s="55">
        <v>1443.06</v>
      </c>
      <c r="AI450" s="55">
        <v>92336.55</v>
      </c>
      <c r="AK450" s="55">
        <v>93779.61</v>
      </c>
      <c r="AL450" s="8">
        <f>+'Gen Rev'!AI451-'Gen Exp'!AE450+'Gen Exp'!AI450-AK450</f>
        <v>0</v>
      </c>
      <c r="AM450" s="21" t="str">
        <f>'Gen Rev'!A451</f>
        <v>Norwich</v>
      </c>
      <c r="AN450" s="67" t="str">
        <f t="shared" si="24"/>
        <v>Norwich</v>
      </c>
      <c r="AO450" s="67" t="b">
        <f t="shared" si="25"/>
        <v>1</v>
      </c>
    </row>
    <row r="451" spans="1:41" x14ac:dyDescent="0.2">
      <c r="A451" s="1" t="s">
        <v>458</v>
      </c>
      <c r="C451" s="1" t="s">
        <v>192</v>
      </c>
      <c r="D451" s="6"/>
      <c r="E451" s="48">
        <v>664646</v>
      </c>
      <c r="F451" s="48"/>
      <c r="G451" s="48">
        <v>8087</v>
      </c>
      <c r="H451" s="48"/>
      <c r="I451" s="48">
        <v>50503</v>
      </c>
      <c r="J451" s="48"/>
      <c r="K451" s="48">
        <v>2258</v>
      </c>
      <c r="L451" s="48"/>
      <c r="M451" s="48">
        <v>0</v>
      </c>
      <c r="N451" s="48"/>
      <c r="O451" s="48">
        <v>202542</v>
      </c>
      <c r="P451" s="48"/>
      <c r="Q451" s="48">
        <v>248618</v>
      </c>
      <c r="R451" s="48"/>
      <c r="S451" s="48">
        <v>106523</v>
      </c>
      <c r="T451" s="48"/>
      <c r="U451" s="48">
        <v>0</v>
      </c>
      <c r="V451" s="48"/>
      <c r="W451" s="48">
        <v>0</v>
      </c>
      <c r="X451" s="48"/>
      <c r="Y451" s="48">
        <v>62465</v>
      </c>
      <c r="Z451" s="48"/>
      <c r="AA451" s="48">
        <v>0</v>
      </c>
      <c r="AB451" s="48"/>
      <c r="AC451" s="48">
        <v>18695</v>
      </c>
      <c r="AD451" s="48"/>
      <c r="AE451" s="48">
        <f t="shared" si="26"/>
        <v>1364337</v>
      </c>
      <c r="AF451" s="48"/>
      <c r="AG451" s="59"/>
      <c r="AH451" s="59"/>
      <c r="AI451" s="59"/>
      <c r="AJ451" s="59"/>
      <c r="AK451" s="59"/>
      <c r="AL451" s="8">
        <f>+'Gen Rev'!AI452-'Gen Exp'!AE451+'Gen Exp'!AI451-AK451</f>
        <v>-228160</v>
      </c>
      <c r="AM451" s="21" t="str">
        <f>'Gen Rev'!A452</f>
        <v>Oak Harbor</v>
      </c>
      <c r="AN451" s="67" t="str">
        <f t="shared" si="24"/>
        <v>Oak Harbor</v>
      </c>
      <c r="AO451" s="67" t="b">
        <f t="shared" si="25"/>
        <v>1</v>
      </c>
    </row>
    <row r="452" spans="1:41" x14ac:dyDescent="0.2">
      <c r="A452" s="1" t="s">
        <v>109</v>
      </c>
      <c r="C452" s="1" t="s">
        <v>850</v>
      </c>
      <c r="E452" s="48">
        <v>206948.9</v>
      </c>
      <c r="F452" s="48"/>
      <c r="G452" s="48">
        <v>7961.76</v>
      </c>
      <c r="H452" s="48"/>
      <c r="I452" s="48">
        <v>0</v>
      </c>
      <c r="J452" s="48"/>
      <c r="K452" s="48">
        <v>0</v>
      </c>
      <c r="L452" s="48"/>
      <c r="M452" s="48">
        <v>10960.31</v>
      </c>
      <c r="N452" s="48"/>
      <c r="O452" s="48">
        <v>0</v>
      </c>
      <c r="P452" s="48"/>
      <c r="Q452" s="48">
        <v>37934.5</v>
      </c>
      <c r="R452" s="48"/>
      <c r="S452" s="48">
        <v>0</v>
      </c>
      <c r="T452" s="48"/>
      <c r="U452" s="48">
        <v>0</v>
      </c>
      <c r="V452" s="48"/>
      <c r="W452" s="48">
        <v>0</v>
      </c>
      <c r="X452" s="48"/>
      <c r="Y452" s="48">
        <v>0</v>
      </c>
      <c r="Z452" s="48"/>
      <c r="AA452" s="48">
        <v>0</v>
      </c>
      <c r="AB452" s="48"/>
      <c r="AC452" s="48">
        <v>108.76</v>
      </c>
      <c r="AD452" s="48"/>
      <c r="AE452" s="48">
        <f t="shared" si="26"/>
        <v>263914.23</v>
      </c>
      <c r="AG452" s="55">
        <v>-24317.18</v>
      </c>
      <c r="AI452" s="55">
        <v>-112560.96000000001</v>
      </c>
      <c r="AK452" s="55">
        <v>-136878.14000000001</v>
      </c>
      <c r="AL452" s="8">
        <f>+'Gen Rev'!AI453-'Gen Exp'!AE452+'Gen Exp'!AI452-AK452</f>
        <v>0</v>
      </c>
      <c r="AM452" s="21" t="str">
        <f>'Gen Rev'!A453</f>
        <v>Oak Hill</v>
      </c>
      <c r="AN452" s="67" t="str">
        <f t="shared" si="24"/>
        <v>Oak Hill</v>
      </c>
      <c r="AO452" s="67" t="b">
        <f t="shared" si="25"/>
        <v>1</v>
      </c>
    </row>
    <row r="453" spans="1:41" x14ac:dyDescent="0.2">
      <c r="A453" s="1" t="s">
        <v>302</v>
      </c>
      <c r="C453" s="1" t="s">
        <v>293</v>
      </c>
      <c r="E453" s="48">
        <v>3229917</v>
      </c>
      <c r="F453" s="48"/>
      <c r="G453" s="48">
        <v>0</v>
      </c>
      <c r="H453" s="48"/>
      <c r="I453" s="48">
        <v>0</v>
      </c>
      <c r="J453" s="48"/>
      <c r="K453" s="48">
        <v>250206</v>
      </c>
      <c r="L453" s="48"/>
      <c r="M453" s="48">
        <v>210711</v>
      </c>
      <c r="N453" s="48"/>
      <c r="O453" s="48">
        <v>475740</v>
      </c>
      <c r="P453" s="48"/>
      <c r="Q453" s="48">
        <v>2770925</v>
      </c>
      <c r="R453" s="48"/>
      <c r="S453" s="48">
        <v>0</v>
      </c>
      <c r="T453" s="48"/>
      <c r="U453" s="48">
        <v>0</v>
      </c>
      <c r="V453" s="48"/>
      <c r="W453" s="48">
        <v>0</v>
      </c>
      <c r="X453" s="48"/>
      <c r="Y453" s="48">
        <v>639400</v>
      </c>
      <c r="Z453" s="48"/>
      <c r="AA453" s="48">
        <v>0</v>
      </c>
      <c r="AB453" s="48"/>
      <c r="AC453" s="48">
        <v>0</v>
      </c>
      <c r="AD453" s="48"/>
      <c r="AE453" s="48">
        <f t="shared" si="26"/>
        <v>7576899</v>
      </c>
      <c r="AF453" s="48"/>
      <c r="AG453" s="59"/>
      <c r="AH453" s="59"/>
      <c r="AI453" s="59"/>
      <c r="AJ453" s="59"/>
      <c r="AK453" s="59"/>
      <c r="AL453" s="8">
        <f>+'Gen Rev'!AI454-'Gen Exp'!AE453+'Gen Exp'!AI453-AK453</f>
        <v>236194</v>
      </c>
      <c r="AM453" s="21" t="str">
        <f>'Gen Rev'!A454</f>
        <v>Oakwood</v>
      </c>
      <c r="AN453" s="67" t="str">
        <f t="shared" si="24"/>
        <v>Oakwood</v>
      </c>
      <c r="AO453" s="67" t="b">
        <f t="shared" si="25"/>
        <v>1</v>
      </c>
    </row>
    <row r="454" spans="1:41" x14ac:dyDescent="0.2">
      <c r="A454" s="1" t="s">
        <v>302</v>
      </c>
      <c r="C454" s="1" t="s">
        <v>460</v>
      </c>
      <c r="E454" s="48">
        <v>0</v>
      </c>
      <c r="F454" s="48"/>
      <c r="G454" s="48">
        <v>0</v>
      </c>
      <c r="H454" s="48"/>
      <c r="I454" s="48">
        <v>0</v>
      </c>
      <c r="J454" s="48"/>
      <c r="K454" s="48">
        <v>0</v>
      </c>
      <c r="L454" s="48"/>
      <c r="M454" s="48">
        <v>0</v>
      </c>
      <c r="N454" s="48"/>
      <c r="O454" s="48">
        <v>0</v>
      </c>
      <c r="P454" s="48"/>
      <c r="Q454" s="48">
        <v>84076</v>
      </c>
      <c r="R454" s="48"/>
      <c r="S454" s="48">
        <v>0</v>
      </c>
      <c r="T454" s="48"/>
      <c r="U454" s="48">
        <v>0</v>
      </c>
      <c r="V454" s="48"/>
      <c r="W454" s="48">
        <v>0</v>
      </c>
      <c r="X454" s="48"/>
      <c r="Y454" s="48">
        <v>52387</v>
      </c>
      <c r="Z454" s="48"/>
      <c r="AA454" s="48">
        <v>0</v>
      </c>
      <c r="AB454" s="48"/>
      <c r="AC454" s="48">
        <v>0</v>
      </c>
      <c r="AD454" s="48"/>
      <c r="AE454" s="48">
        <f t="shared" si="26"/>
        <v>136463</v>
      </c>
      <c r="AF454" s="48"/>
      <c r="AG454" s="59"/>
      <c r="AH454" s="59"/>
      <c r="AI454" s="59"/>
      <c r="AJ454" s="59"/>
      <c r="AK454" s="59"/>
      <c r="AL454" s="8">
        <f>+'Gen Rev'!AI455-'Gen Exp'!AE454+'Gen Exp'!AI454-AK454</f>
        <v>2466</v>
      </c>
      <c r="AM454" s="21" t="str">
        <f>'Gen Rev'!A455</f>
        <v>Oakwood</v>
      </c>
      <c r="AN454" s="67" t="str">
        <f t="shared" si="24"/>
        <v>Oakwood</v>
      </c>
      <c r="AO454" s="67" t="b">
        <f t="shared" si="25"/>
        <v>1</v>
      </c>
    </row>
    <row r="455" spans="1:41" x14ac:dyDescent="0.2">
      <c r="A455" s="1" t="s">
        <v>70</v>
      </c>
      <c r="C455" s="1" t="s">
        <v>329</v>
      </c>
      <c r="E455" s="48">
        <v>1602075.55</v>
      </c>
      <c r="F455" s="48"/>
      <c r="G455" s="48">
        <v>23199.65</v>
      </c>
      <c r="H455" s="48"/>
      <c r="I455" s="48">
        <v>1056323.8</v>
      </c>
      <c r="J455" s="48"/>
      <c r="K455" s="48">
        <v>1756495.24</v>
      </c>
      <c r="L455" s="48"/>
      <c r="M455" s="48">
        <v>0</v>
      </c>
      <c r="N455" s="48"/>
      <c r="O455" s="48">
        <v>162313.73000000001</v>
      </c>
      <c r="P455" s="48"/>
      <c r="Q455" s="48">
        <v>1224614.6100000001</v>
      </c>
      <c r="R455" s="48"/>
      <c r="S455" s="48">
        <v>973209.96</v>
      </c>
      <c r="T455" s="48"/>
      <c r="U455" s="48">
        <v>0</v>
      </c>
      <c r="V455" s="48"/>
      <c r="W455" s="48">
        <v>185867.11</v>
      </c>
      <c r="X455" s="48"/>
      <c r="Y455" s="48">
        <v>0</v>
      </c>
      <c r="Z455" s="48"/>
      <c r="AA455" s="48">
        <v>30000</v>
      </c>
      <c r="AB455" s="48"/>
      <c r="AC455" s="48">
        <v>0</v>
      </c>
      <c r="AD455" s="48"/>
      <c r="AE455" s="48">
        <f t="shared" si="26"/>
        <v>7014099.6500000013</v>
      </c>
      <c r="AG455" s="55">
        <v>1160174.24</v>
      </c>
      <c r="AI455" s="55">
        <v>3203119.64</v>
      </c>
      <c r="AK455" s="55">
        <v>4363293.88</v>
      </c>
      <c r="AL455" s="8">
        <f>+'Gen Rev'!AI456-'Gen Exp'!AE455+'Gen Exp'!AI455-AK455</f>
        <v>0</v>
      </c>
      <c r="AM455" s="21" t="str">
        <f>'Gen Rev'!A456</f>
        <v>Obetz</v>
      </c>
      <c r="AN455" s="67" t="str">
        <f t="shared" si="24"/>
        <v>Obetz</v>
      </c>
      <c r="AO455" s="67" t="b">
        <f t="shared" si="25"/>
        <v>1</v>
      </c>
    </row>
    <row r="456" spans="1:41" x14ac:dyDescent="0.2">
      <c r="A456" s="1" t="s">
        <v>66</v>
      </c>
      <c r="C456" s="1" t="s">
        <v>334</v>
      </c>
      <c r="E456" s="48">
        <v>7195.51</v>
      </c>
      <c r="F456" s="48"/>
      <c r="G456" s="48">
        <v>0</v>
      </c>
      <c r="H456" s="48"/>
      <c r="I456" s="48">
        <v>3440.89</v>
      </c>
      <c r="J456" s="48"/>
      <c r="K456" s="48">
        <v>10</v>
      </c>
      <c r="L456" s="48"/>
      <c r="M456" s="48">
        <v>5638.75</v>
      </c>
      <c r="N456" s="48"/>
      <c r="O456" s="48">
        <v>432.62</v>
      </c>
      <c r="P456" s="48"/>
      <c r="Q456" s="48">
        <v>48944.71</v>
      </c>
      <c r="R456" s="48"/>
      <c r="S456" s="48">
        <v>0</v>
      </c>
      <c r="T456" s="48"/>
      <c r="U456" s="48">
        <v>0</v>
      </c>
      <c r="V456" s="48"/>
      <c r="W456" s="48">
        <v>0</v>
      </c>
      <c r="X456" s="48"/>
      <c r="Y456" s="48">
        <v>4725</v>
      </c>
      <c r="Z456" s="48"/>
      <c r="AA456" s="48">
        <v>2290.8000000000002</v>
      </c>
      <c r="AB456" s="48"/>
      <c r="AC456" s="48">
        <v>304.97000000000003</v>
      </c>
      <c r="AD456" s="48"/>
      <c r="AE456" s="48">
        <f t="shared" si="26"/>
        <v>72983.25</v>
      </c>
      <c r="AG456" s="55">
        <v>-153.41</v>
      </c>
      <c r="AI456" s="55">
        <v>204.37</v>
      </c>
      <c r="AK456" s="55">
        <v>50.96</v>
      </c>
      <c r="AL456" s="8">
        <f>+'Gen Rev'!AI457-'Gen Exp'!AE456+'Gen Exp'!AI456-AK456</f>
        <v>2.5615065624151612E-11</v>
      </c>
      <c r="AM456" s="21" t="str">
        <f>'Gen Rev'!A457</f>
        <v>Octa</v>
      </c>
      <c r="AN456" s="67" t="str">
        <f t="shared" si="24"/>
        <v>Octa</v>
      </c>
      <c r="AO456" s="67" t="b">
        <f t="shared" si="25"/>
        <v>1</v>
      </c>
    </row>
    <row r="457" spans="1:41" x14ac:dyDescent="0.2">
      <c r="A457" s="1" t="s">
        <v>533</v>
      </c>
      <c r="C457" s="1" t="s">
        <v>532</v>
      </c>
      <c r="E457" s="48">
        <v>23643</v>
      </c>
      <c r="F457" s="48"/>
      <c r="G457" s="48">
        <v>3477</v>
      </c>
      <c r="H457" s="48"/>
      <c r="I457" s="48">
        <v>4020</v>
      </c>
      <c r="J457" s="48"/>
      <c r="K457" s="48">
        <v>0</v>
      </c>
      <c r="L457" s="48"/>
      <c r="M457" s="48">
        <v>6052</v>
      </c>
      <c r="N457" s="48"/>
      <c r="O457" s="48">
        <v>0</v>
      </c>
      <c r="P457" s="48"/>
      <c r="Q457" s="48">
        <v>94956</v>
      </c>
      <c r="R457" s="48"/>
      <c r="S457" s="48">
        <v>11868</v>
      </c>
      <c r="T457" s="48"/>
      <c r="U457" s="48">
        <v>0</v>
      </c>
      <c r="V457" s="48"/>
      <c r="W457" s="48">
        <v>0</v>
      </c>
      <c r="X457" s="48"/>
      <c r="Y457" s="48">
        <v>73406</v>
      </c>
      <c r="Z457" s="48"/>
      <c r="AA457" s="48">
        <v>0</v>
      </c>
      <c r="AB457" s="48"/>
      <c r="AC457" s="48">
        <v>0</v>
      </c>
      <c r="AD457" s="48"/>
      <c r="AE457" s="48">
        <f t="shared" si="26"/>
        <v>217422</v>
      </c>
      <c r="AF457" s="48"/>
      <c r="AG457" s="59"/>
      <c r="AH457" s="59"/>
      <c r="AI457" s="59"/>
      <c r="AJ457" s="59"/>
      <c r="AK457" s="59"/>
      <c r="AL457" s="8">
        <f>+'Gen Rev'!AI458-'Gen Exp'!AE457+'Gen Exp'!AI457-AK457</f>
        <v>-11479</v>
      </c>
      <c r="AM457" s="21" t="str">
        <f>'Gen Rev'!A458</f>
        <v xml:space="preserve">Ohio City </v>
      </c>
      <c r="AN457" s="67" t="str">
        <f t="shared" si="24"/>
        <v xml:space="preserve">Ohio City </v>
      </c>
      <c r="AO457" s="67" t="b">
        <f t="shared" si="25"/>
        <v>1</v>
      </c>
    </row>
    <row r="458" spans="1:41" x14ac:dyDescent="0.2">
      <c r="A458" s="1" t="s">
        <v>825</v>
      </c>
      <c r="C458" s="1" t="s">
        <v>349</v>
      </c>
      <c r="E458" s="48">
        <v>7059.24</v>
      </c>
      <c r="F458" s="48"/>
      <c r="G458" s="48">
        <v>32.22</v>
      </c>
      <c r="H458" s="48"/>
      <c r="I458" s="48">
        <v>0</v>
      </c>
      <c r="J458" s="48"/>
      <c r="K458" s="48">
        <v>134.91999999999999</v>
      </c>
      <c r="L458" s="48"/>
      <c r="M458" s="48">
        <v>532.44000000000005</v>
      </c>
      <c r="N458" s="48"/>
      <c r="O458" s="48">
        <v>1544.14</v>
      </c>
      <c r="P458" s="48"/>
      <c r="Q458" s="48">
        <v>47162.75</v>
      </c>
      <c r="R458" s="48"/>
      <c r="S458" s="48">
        <v>0</v>
      </c>
      <c r="T458" s="48"/>
      <c r="U458" s="48">
        <v>0</v>
      </c>
      <c r="V458" s="48"/>
      <c r="W458" s="48">
        <v>0</v>
      </c>
      <c r="X458" s="48"/>
      <c r="Y458" s="48">
        <v>0</v>
      </c>
      <c r="Z458" s="48"/>
      <c r="AA458" s="48">
        <v>0</v>
      </c>
      <c r="AB458" s="48"/>
      <c r="AC458" s="48">
        <v>0</v>
      </c>
      <c r="AD458" s="48"/>
      <c r="AE458" s="48">
        <f t="shared" si="26"/>
        <v>56465.71</v>
      </c>
      <c r="AG458" s="55">
        <v>-33151.760000000002</v>
      </c>
      <c r="AI458" s="55">
        <v>63610.04</v>
      </c>
      <c r="AK458" s="55">
        <v>30458.28</v>
      </c>
      <c r="AL458" s="8">
        <f>+'Gen Rev'!AI459-'Gen Exp'!AE458+'Gen Exp'!AI458-AK458</f>
        <v>0</v>
      </c>
      <c r="AM458" s="21" t="str">
        <f>'Gen Rev'!A459</f>
        <v>Old Washington</v>
      </c>
      <c r="AN458" s="67" t="str">
        <f t="shared" si="24"/>
        <v>Old Washington</v>
      </c>
      <c r="AO458" s="67" t="b">
        <f t="shared" si="25"/>
        <v>1</v>
      </c>
    </row>
    <row r="459" spans="1:41" x14ac:dyDescent="0.2">
      <c r="A459" s="1" t="s">
        <v>784</v>
      </c>
      <c r="C459" s="1" t="s">
        <v>293</v>
      </c>
      <c r="E459" s="48">
        <v>2531488</v>
      </c>
      <c r="F459" s="48"/>
      <c r="G459" s="48">
        <v>0</v>
      </c>
      <c r="H459" s="48"/>
      <c r="I459" s="48">
        <v>0</v>
      </c>
      <c r="J459" s="48"/>
      <c r="K459" s="48">
        <v>169510</v>
      </c>
      <c r="L459" s="48"/>
      <c r="M459" s="48">
        <v>180219</v>
      </c>
      <c r="N459" s="48"/>
      <c r="O459" s="48">
        <v>565457</v>
      </c>
      <c r="P459" s="48"/>
      <c r="Q459" s="48">
        <v>1115386</v>
      </c>
      <c r="R459" s="48"/>
      <c r="S459" s="48">
        <v>0</v>
      </c>
      <c r="T459" s="48"/>
      <c r="U459" s="48">
        <v>0</v>
      </c>
      <c r="V459" s="48"/>
      <c r="W459" s="48">
        <v>0</v>
      </c>
      <c r="X459" s="48"/>
      <c r="Y459" s="48">
        <v>701191</v>
      </c>
      <c r="Z459" s="48"/>
      <c r="AA459" s="48">
        <v>0</v>
      </c>
      <c r="AB459" s="48"/>
      <c r="AC459" s="48">
        <v>0</v>
      </c>
      <c r="AD459" s="48"/>
      <c r="AE459" s="48">
        <f t="shared" si="26"/>
        <v>5263251</v>
      </c>
      <c r="AF459" s="48"/>
      <c r="AG459" s="59"/>
      <c r="AH459" s="59"/>
      <c r="AI459" s="59"/>
      <c r="AJ459" s="59"/>
      <c r="AK459" s="59"/>
      <c r="AL459" s="8">
        <f>+'Gen Rev'!AI460-'Gen Exp'!AE459+'Gen Exp'!AI459-AK459</f>
        <v>98713</v>
      </c>
      <c r="AM459" s="21" t="str">
        <f>'Gen Rev'!A460</f>
        <v xml:space="preserve">Orange </v>
      </c>
      <c r="AN459" s="67" t="str">
        <f t="shared" si="24"/>
        <v xml:space="preserve">Orange </v>
      </c>
      <c r="AO459" s="67" t="b">
        <f t="shared" si="25"/>
        <v>1</v>
      </c>
    </row>
    <row r="460" spans="1:41" x14ac:dyDescent="0.2">
      <c r="A460" s="1" t="s">
        <v>214</v>
      </c>
      <c r="C460" s="1" t="s">
        <v>518</v>
      </c>
      <c r="E460" s="48">
        <v>4310.59</v>
      </c>
      <c r="F460" s="48"/>
      <c r="G460" s="48">
        <v>0</v>
      </c>
      <c r="H460" s="48"/>
      <c r="I460" s="48">
        <v>0</v>
      </c>
      <c r="J460" s="48"/>
      <c r="K460" s="48">
        <v>0</v>
      </c>
      <c r="L460" s="48"/>
      <c r="M460" s="48">
        <v>0</v>
      </c>
      <c r="N460" s="48"/>
      <c r="O460" s="48">
        <v>0</v>
      </c>
      <c r="P460" s="48"/>
      <c r="Q460" s="48">
        <v>15254.11</v>
      </c>
      <c r="R460" s="48"/>
      <c r="S460" s="48">
        <v>0</v>
      </c>
      <c r="T460" s="48"/>
      <c r="U460" s="48">
        <v>0</v>
      </c>
      <c r="V460" s="48"/>
      <c r="W460" s="48">
        <v>0</v>
      </c>
      <c r="X460" s="48"/>
      <c r="Y460" s="48">
        <v>0</v>
      </c>
      <c r="Z460" s="48"/>
      <c r="AA460" s="48">
        <v>0</v>
      </c>
      <c r="AB460" s="48"/>
      <c r="AC460" s="48">
        <v>0</v>
      </c>
      <c r="AD460" s="48"/>
      <c r="AE460" s="48">
        <f t="shared" si="26"/>
        <v>19564.7</v>
      </c>
      <c r="AG460" s="55">
        <v>4911.24</v>
      </c>
      <c r="AI460" s="55">
        <v>36886.660000000003</v>
      </c>
      <c r="AK460" s="55">
        <v>41797.9</v>
      </c>
      <c r="AL460" s="8">
        <f>+'Gen Rev'!AI461-'Gen Exp'!AE460+'Gen Exp'!AI460-AK460</f>
        <v>0</v>
      </c>
      <c r="AM460" s="21" t="str">
        <f>'Gen Rev'!A461</f>
        <v>Orangeville</v>
      </c>
      <c r="AN460" s="67" t="str">
        <f t="shared" si="24"/>
        <v>Orangeville</v>
      </c>
      <c r="AO460" s="67" t="b">
        <f t="shared" si="25"/>
        <v>1</v>
      </c>
    </row>
    <row r="461" spans="1:41" x14ac:dyDescent="0.2"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L461" s="8"/>
      <c r="AM461" s="21"/>
      <c r="AN461" s="67"/>
      <c r="AO461" s="67"/>
    </row>
    <row r="462" spans="1:41" ht="12.75" x14ac:dyDescent="0.2"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88" t="s">
        <v>733</v>
      </c>
      <c r="AL462" s="8"/>
      <c r="AM462" s="21"/>
      <c r="AN462" s="67"/>
      <c r="AO462" s="67"/>
    </row>
    <row r="463" spans="1:41" x14ac:dyDescent="0.2"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L463" s="8"/>
      <c r="AM463" s="21"/>
      <c r="AN463" s="67"/>
      <c r="AO463" s="67"/>
    </row>
    <row r="464" spans="1:41" x14ac:dyDescent="0.2">
      <c r="A464" s="1" t="s">
        <v>175</v>
      </c>
      <c r="C464" s="1" t="s">
        <v>467</v>
      </c>
      <c r="E464" s="68">
        <v>1875</v>
      </c>
      <c r="F464" s="48"/>
      <c r="G464" s="68">
        <v>205.5</v>
      </c>
      <c r="H464" s="68"/>
      <c r="I464" s="68">
        <v>0</v>
      </c>
      <c r="J464" s="68"/>
      <c r="K464" s="68">
        <v>0</v>
      </c>
      <c r="L464" s="68"/>
      <c r="M464" s="68">
        <v>0</v>
      </c>
      <c r="N464" s="68"/>
      <c r="O464" s="68">
        <v>0</v>
      </c>
      <c r="P464" s="68"/>
      <c r="Q464" s="68">
        <v>18210.400000000001</v>
      </c>
      <c r="R464" s="68"/>
      <c r="S464" s="68">
        <v>0</v>
      </c>
      <c r="T464" s="68"/>
      <c r="U464" s="68">
        <v>0</v>
      </c>
      <c r="V464" s="68"/>
      <c r="W464" s="68">
        <v>0</v>
      </c>
      <c r="X464" s="68"/>
      <c r="Y464" s="68">
        <v>0</v>
      </c>
      <c r="Z464" s="68"/>
      <c r="AA464" s="68">
        <v>0</v>
      </c>
      <c r="AB464" s="68"/>
      <c r="AC464" s="68">
        <v>0</v>
      </c>
      <c r="AD464" s="68"/>
      <c r="AE464" s="68">
        <f t="shared" si="26"/>
        <v>20290.900000000001</v>
      </c>
      <c r="AG464" s="55">
        <v>5167.46</v>
      </c>
      <c r="AI464" s="55">
        <v>18440.18</v>
      </c>
      <c r="AK464" s="55">
        <v>23607.64</v>
      </c>
      <c r="AL464" s="8">
        <f>+'Gen Rev'!AI462-'Gen Exp'!AE464+'Gen Exp'!AI464-AK464</f>
        <v>0</v>
      </c>
      <c r="AM464" s="21" t="str">
        <f>'Gen Rev'!A462</f>
        <v>Orient</v>
      </c>
      <c r="AN464" s="67" t="str">
        <f t="shared" si="24"/>
        <v>Orient</v>
      </c>
      <c r="AO464" s="67" t="b">
        <f t="shared" si="25"/>
        <v>1</v>
      </c>
    </row>
    <row r="465" spans="1:41" x14ac:dyDescent="0.2">
      <c r="A465" s="1" t="s">
        <v>312</v>
      </c>
      <c r="C465" s="1" t="s">
        <v>306</v>
      </c>
      <c r="E465" s="48">
        <v>8872</v>
      </c>
      <c r="F465" s="48"/>
      <c r="G465" s="48">
        <v>1738</v>
      </c>
      <c r="H465" s="48"/>
      <c r="I465" s="48">
        <v>22559</v>
      </c>
      <c r="J465" s="48"/>
      <c r="K465" s="48">
        <v>0</v>
      </c>
      <c r="L465" s="48"/>
      <c r="M465" s="48">
        <v>0</v>
      </c>
      <c r="N465" s="48"/>
      <c r="O465" s="48">
        <v>0</v>
      </c>
      <c r="P465" s="48"/>
      <c r="Q465" s="48">
        <v>36392</v>
      </c>
      <c r="R465" s="48"/>
      <c r="S465" s="48">
        <v>0</v>
      </c>
      <c r="T465" s="48"/>
      <c r="U465" s="48">
        <v>0</v>
      </c>
      <c r="V465" s="48"/>
      <c r="W465" s="48">
        <v>0</v>
      </c>
      <c r="X465" s="48"/>
      <c r="Y465" s="48">
        <v>0</v>
      </c>
      <c r="Z465" s="48"/>
      <c r="AA465" s="48">
        <v>0</v>
      </c>
      <c r="AB465" s="48"/>
      <c r="AC465" s="48">
        <v>0</v>
      </c>
      <c r="AD465" s="48"/>
      <c r="AE465" s="48">
        <f t="shared" si="26"/>
        <v>69561</v>
      </c>
      <c r="AF465" s="48"/>
      <c r="AG465" s="59"/>
      <c r="AH465" s="59"/>
      <c r="AI465" s="59"/>
      <c r="AJ465" s="59"/>
      <c r="AK465" s="59"/>
      <c r="AL465" s="8">
        <f>+'Gen Rev'!AI463-'Gen Exp'!AE465+'Gen Exp'!AI465-AK465</f>
        <v>49921</v>
      </c>
      <c r="AM465" s="21" t="str">
        <f>'Gen Rev'!A463</f>
        <v>Osgood</v>
      </c>
      <c r="AN465" s="67" t="str">
        <f t="shared" si="24"/>
        <v>Osgood</v>
      </c>
      <c r="AO465" s="67" t="b">
        <f t="shared" si="25"/>
        <v>1</v>
      </c>
    </row>
    <row r="466" spans="1:41" x14ac:dyDescent="0.2">
      <c r="A466" s="1" t="s">
        <v>321</v>
      </c>
      <c r="C466" s="1" t="s">
        <v>320</v>
      </c>
      <c r="E466" s="48">
        <v>25206</v>
      </c>
      <c r="F466" s="48"/>
      <c r="G466" s="48">
        <v>680</v>
      </c>
      <c r="H466" s="48"/>
      <c r="I466" s="48">
        <v>0</v>
      </c>
      <c r="J466" s="48"/>
      <c r="K466" s="48">
        <v>2644</v>
      </c>
      <c r="L466" s="48"/>
      <c r="M466" s="48">
        <v>0</v>
      </c>
      <c r="N466" s="48"/>
      <c r="O466" s="48">
        <v>0</v>
      </c>
      <c r="P466" s="48"/>
      <c r="Q466" s="48">
        <v>20652</v>
      </c>
      <c r="R466" s="48"/>
      <c r="S466" s="48">
        <v>0</v>
      </c>
      <c r="T466" s="48"/>
      <c r="U466" s="48">
        <v>0</v>
      </c>
      <c r="V466" s="48"/>
      <c r="W466" s="48">
        <v>0</v>
      </c>
      <c r="X466" s="48"/>
      <c r="Y466" s="48">
        <v>0</v>
      </c>
      <c r="Z466" s="48"/>
      <c r="AA466" s="48">
        <v>0</v>
      </c>
      <c r="AB466" s="48"/>
      <c r="AC466" s="48">
        <v>0</v>
      </c>
      <c r="AD466" s="48"/>
      <c r="AE466" s="48">
        <f t="shared" si="26"/>
        <v>49182</v>
      </c>
      <c r="AF466" s="48"/>
      <c r="AG466" s="59"/>
      <c r="AH466" s="59"/>
      <c r="AI466" s="59"/>
      <c r="AJ466" s="59"/>
      <c r="AK466" s="59"/>
      <c r="AL466" s="8">
        <f>+'Gen Rev'!AI464-'Gen Exp'!AE466+'Gen Exp'!AI466-AK466</f>
        <v>-5041</v>
      </c>
      <c r="AM466" s="21" t="str">
        <f>'Gen Rev'!A464</f>
        <v>Ostrander</v>
      </c>
      <c r="AN466" s="67" t="str">
        <f t="shared" si="24"/>
        <v>Ostrander</v>
      </c>
      <c r="AO466" s="67" t="b">
        <f t="shared" si="25"/>
        <v>1</v>
      </c>
    </row>
    <row r="467" spans="1:41" x14ac:dyDescent="0.2">
      <c r="A467" s="1" t="s">
        <v>192</v>
      </c>
      <c r="C467" s="1" t="s">
        <v>476</v>
      </c>
      <c r="E467" s="48">
        <v>132970.1</v>
      </c>
      <c r="F467" s="48"/>
      <c r="G467" s="48">
        <v>0</v>
      </c>
      <c r="H467" s="48"/>
      <c r="I467" s="48">
        <v>85554.59</v>
      </c>
      <c r="J467" s="48"/>
      <c r="K467" s="48">
        <v>80295.66</v>
      </c>
      <c r="L467" s="48"/>
      <c r="M467" s="48">
        <v>0</v>
      </c>
      <c r="N467" s="48"/>
      <c r="O467" s="48">
        <v>0</v>
      </c>
      <c r="P467" s="48"/>
      <c r="Q467" s="48">
        <v>194946.81</v>
      </c>
      <c r="R467" s="48"/>
      <c r="S467" s="48">
        <v>10420.040000000001</v>
      </c>
      <c r="T467" s="48"/>
      <c r="U467" s="48">
        <v>0</v>
      </c>
      <c r="V467" s="48"/>
      <c r="W467" s="48">
        <v>0</v>
      </c>
      <c r="X467" s="48"/>
      <c r="Y467" s="48">
        <v>0</v>
      </c>
      <c r="Z467" s="48"/>
      <c r="AA467" s="48">
        <v>0</v>
      </c>
      <c r="AB467" s="48"/>
      <c r="AC467" s="48">
        <v>0</v>
      </c>
      <c r="AD467" s="48"/>
      <c r="AE467" s="48">
        <f t="shared" si="26"/>
        <v>504187.19999999995</v>
      </c>
      <c r="AG467" s="55">
        <v>24190.13</v>
      </c>
      <c r="AI467" s="55">
        <v>1821485.64</v>
      </c>
      <c r="AK467" s="55">
        <v>1845675.77</v>
      </c>
      <c r="AL467" s="8">
        <f>+'Gen Rev'!AI465-'Gen Exp'!AE467+'Gen Exp'!AI467-AK467</f>
        <v>0</v>
      </c>
      <c r="AM467" s="21" t="str">
        <f>'Gen Rev'!A465</f>
        <v>Ottawa</v>
      </c>
      <c r="AN467" s="67" t="str">
        <f t="shared" si="24"/>
        <v>Ottawa</v>
      </c>
      <c r="AO467" s="67" t="b">
        <f t="shared" si="25"/>
        <v>1</v>
      </c>
    </row>
    <row r="468" spans="1:41" x14ac:dyDescent="0.2">
      <c r="A468" s="1" t="s">
        <v>424</v>
      </c>
      <c r="C468" s="1" t="s">
        <v>423</v>
      </c>
      <c r="E468" s="48">
        <v>2000104</v>
      </c>
      <c r="F468" s="48"/>
      <c r="G468" s="48">
        <v>36487</v>
      </c>
      <c r="H468" s="48"/>
      <c r="I468" s="48">
        <v>362187</v>
      </c>
      <c r="J468" s="48"/>
      <c r="K468" s="48">
        <v>0</v>
      </c>
      <c r="L468" s="48"/>
      <c r="M468" s="48">
        <v>480055</v>
      </c>
      <c r="N468" s="48"/>
      <c r="O468" s="48">
        <v>308814</v>
      </c>
      <c r="P468" s="48"/>
      <c r="Q468" s="48">
        <v>814000</v>
      </c>
      <c r="R468" s="48"/>
      <c r="S468" s="48">
        <v>0</v>
      </c>
      <c r="T468" s="48"/>
      <c r="U468" s="48">
        <v>0</v>
      </c>
      <c r="V468" s="48"/>
      <c r="W468" s="48">
        <v>0</v>
      </c>
      <c r="X468" s="48"/>
      <c r="Y468" s="48">
        <v>850000</v>
      </c>
      <c r="Z468" s="48"/>
      <c r="AA468" s="48">
        <v>0</v>
      </c>
      <c r="AB468" s="48"/>
      <c r="AC468" s="48">
        <v>0</v>
      </c>
      <c r="AD468" s="48"/>
      <c r="AE468" s="48">
        <f t="shared" si="26"/>
        <v>4851647</v>
      </c>
      <c r="AF468" s="48"/>
      <c r="AG468" s="59"/>
      <c r="AH468" s="59"/>
      <c r="AI468" s="59"/>
      <c r="AJ468" s="59"/>
      <c r="AK468" s="59"/>
      <c r="AL468" s="8">
        <f>+'Gen Rev'!AI466-'Gen Exp'!AE468+'Gen Exp'!AI468-AK468</f>
        <v>-28771</v>
      </c>
      <c r="AM468" s="21" t="str">
        <f>'Gen Rev'!A466</f>
        <v>Ottawa Hills</v>
      </c>
      <c r="AN468" s="67" t="str">
        <f t="shared" si="24"/>
        <v>Ottawa Hills</v>
      </c>
      <c r="AO468" s="67" t="b">
        <f t="shared" si="25"/>
        <v>1</v>
      </c>
    </row>
    <row r="469" spans="1:41" x14ac:dyDescent="0.2">
      <c r="A469" s="1" t="s">
        <v>478</v>
      </c>
      <c r="C469" s="1" t="s">
        <v>476</v>
      </c>
      <c r="E469" s="48">
        <v>164597.42000000001</v>
      </c>
      <c r="F469" s="48"/>
      <c r="G469" s="48">
        <v>0</v>
      </c>
      <c r="H469" s="48"/>
      <c r="I469" s="48">
        <v>6454.68</v>
      </c>
      <c r="J469" s="48"/>
      <c r="K469" s="48">
        <v>0</v>
      </c>
      <c r="L469" s="48"/>
      <c r="M469" s="48">
        <v>3500</v>
      </c>
      <c r="N469" s="48"/>
      <c r="O469" s="48">
        <v>1943.74</v>
      </c>
      <c r="P469" s="48"/>
      <c r="Q469" s="48">
        <v>151939.42000000001</v>
      </c>
      <c r="R469" s="48"/>
      <c r="S469" s="48">
        <v>101822.77</v>
      </c>
      <c r="T469" s="48"/>
      <c r="U469" s="48">
        <v>13674.82</v>
      </c>
      <c r="V469" s="48"/>
      <c r="W469" s="48">
        <v>2166.54</v>
      </c>
      <c r="X469" s="48"/>
      <c r="Y469" s="48">
        <v>262344.46999999997</v>
      </c>
      <c r="Z469" s="48"/>
      <c r="AA469" s="48">
        <v>0</v>
      </c>
      <c r="AB469" s="48"/>
      <c r="AC469" s="48">
        <v>0</v>
      </c>
      <c r="AD469" s="48"/>
      <c r="AE469" s="48">
        <f t="shared" ref="AE469:AE503" si="27">SUM(E469:AC469)</f>
        <v>708443.86</v>
      </c>
      <c r="AG469" s="55">
        <v>-75614.990000000005</v>
      </c>
      <c r="AI469" s="55">
        <v>501858.12</v>
      </c>
      <c r="AK469" s="55">
        <v>426243.13</v>
      </c>
      <c r="AL469" s="8">
        <f>+'Gen Rev'!AI467-'Gen Exp'!AE469+'Gen Exp'!AI469-AK469</f>
        <v>0</v>
      </c>
      <c r="AM469" s="21" t="str">
        <f>'Gen Rev'!A467</f>
        <v>Ottoville</v>
      </c>
      <c r="AN469" s="67" t="str">
        <f t="shared" si="24"/>
        <v>Ottoville</v>
      </c>
      <c r="AO469" s="67" t="b">
        <f t="shared" si="25"/>
        <v>1</v>
      </c>
    </row>
    <row r="470" spans="1:41" x14ac:dyDescent="0.2">
      <c r="A470" s="1" t="s">
        <v>201</v>
      </c>
      <c r="C470" s="1" t="s">
        <v>491</v>
      </c>
      <c r="E470" s="48">
        <v>0</v>
      </c>
      <c r="F470" s="48"/>
      <c r="G470" s="48">
        <v>0</v>
      </c>
      <c r="H470" s="48"/>
      <c r="I470" s="48">
        <v>0</v>
      </c>
      <c r="J470" s="48"/>
      <c r="K470" s="48">
        <v>0</v>
      </c>
      <c r="L470" s="48"/>
      <c r="M470" s="48">
        <v>5022.55</v>
      </c>
      <c r="N470" s="48"/>
      <c r="O470" s="48">
        <v>852.65</v>
      </c>
      <c r="P470" s="48"/>
      <c r="Q470" s="48">
        <v>4439.84</v>
      </c>
      <c r="R470" s="48"/>
      <c r="S470" s="48">
        <v>0</v>
      </c>
      <c r="T470" s="48"/>
      <c r="U470" s="48">
        <v>0</v>
      </c>
      <c r="V470" s="48"/>
      <c r="W470" s="48">
        <v>0</v>
      </c>
      <c r="X470" s="48"/>
      <c r="Y470" s="48">
        <v>0</v>
      </c>
      <c r="Z470" s="48"/>
      <c r="AA470" s="48">
        <v>0</v>
      </c>
      <c r="AB470" s="48"/>
      <c r="AC470" s="48">
        <v>0</v>
      </c>
      <c r="AD470" s="48"/>
      <c r="AE470" s="48">
        <f t="shared" si="27"/>
        <v>10315.040000000001</v>
      </c>
      <c r="AG470" s="55">
        <v>-5105.33</v>
      </c>
      <c r="AI470" s="55">
        <v>9005.15</v>
      </c>
      <c r="AK470" s="55">
        <v>3899.82</v>
      </c>
      <c r="AL470" s="8">
        <f>+'Gen Rev'!AI468-'Gen Exp'!AE470+'Gen Exp'!AI470-AK470</f>
        <v>0</v>
      </c>
      <c r="AM470" s="21" t="str">
        <f>'Gen Rev'!A468</f>
        <v>Otway</v>
      </c>
      <c r="AN470" s="67" t="str">
        <f t="shared" si="24"/>
        <v>Otway</v>
      </c>
      <c r="AO470" s="67" t="b">
        <f t="shared" si="25"/>
        <v>1</v>
      </c>
    </row>
    <row r="471" spans="1:41" x14ac:dyDescent="0.2">
      <c r="A471" s="1" t="s">
        <v>38</v>
      </c>
      <c r="C471" s="1" t="s">
        <v>277</v>
      </c>
      <c r="E471" s="48">
        <v>146107.88</v>
      </c>
      <c r="F471" s="48"/>
      <c r="G471" s="48">
        <v>2374.29</v>
      </c>
      <c r="H471" s="48"/>
      <c r="I471" s="48">
        <v>12231.29</v>
      </c>
      <c r="J471" s="48"/>
      <c r="K471" s="48">
        <v>0</v>
      </c>
      <c r="L471" s="48"/>
      <c r="M471" s="48">
        <v>0</v>
      </c>
      <c r="N471" s="48"/>
      <c r="O471" s="48">
        <v>0</v>
      </c>
      <c r="P471" s="48"/>
      <c r="Q471" s="48">
        <v>148195.82999999999</v>
      </c>
      <c r="R471" s="48"/>
      <c r="S471" s="48">
        <v>0</v>
      </c>
      <c r="T471" s="48"/>
      <c r="U471" s="48">
        <v>0</v>
      </c>
      <c r="V471" s="48"/>
      <c r="W471" s="48">
        <v>0</v>
      </c>
      <c r="X471" s="48"/>
      <c r="Y471" s="48">
        <v>0</v>
      </c>
      <c r="Z471" s="48"/>
      <c r="AA471" s="48">
        <v>0</v>
      </c>
      <c r="AB471" s="48"/>
      <c r="AC471" s="48">
        <v>0</v>
      </c>
      <c r="AD471" s="48"/>
      <c r="AE471" s="48">
        <f t="shared" si="27"/>
        <v>308909.29000000004</v>
      </c>
      <c r="AG471" s="55">
        <v>-43161.15</v>
      </c>
      <c r="AI471" s="55">
        <v>398669.73</v>
      </c>
      <c r="AK471" s="55">
        <v>355508.58</v>
      </c>
      <c r="AL471" s="8">
        <f>+'Gen Rev'!AI469-'Gen Exp'!AE471+'Gen Exp'!AI471-AK471</f>
        <v>0</v>
      </c>
      <c r="AM471" s="21" t="str">
        <f>'Gen Rev'!A469</f>
        <v>Owensville</v>
      </c>
      <c r="AN471" s="67" t="str">
        <f t="shared" si="24"/>
        <v>Owensville</v>
      </c>
      <c r="AO471" s="67" t="b">
        <f t="shared" si="25"/>
        <v>1</v>
      </c>
    </row>
    <row r="472" spans="1:41" x14ac:dyDescent="0.2">
      <c r="A472" s="1" t="s">
        <v>479</v>
      </c>
      <c r="C472" s="1" t="s">
        <v>476</v>
      </c>
      <c r="E472" s="48">
        <v>166683</v>
      </c>
      <c r="F472" s="48"/>
      <c r="G472" s="48">
        <v>6626</v>
      </c>
      <c r="H472" s="48"/>
      <c r="I472" s="48">
        <v>0</v>
      </c>
      <c r="J472" s="48"/>
      <c r="K472" s="48">
        <v>0</v>
      </c>
      <c r="L472" s="48"/>
      <c r="M472" s="48">
        <v>17469</v>
      </c>
      <c r="N472" s="48"/>
      <c r="O472" s="48">
        <v>32121</v>
      </c>
      <c r="P472" s="48"/>
      <c r="Q472" s="48">
        <v>130975</v>
      </c>
      <c r="R472" s="48"/>
      <c r="S472" s="48">
        <v>364</v>
      </c>
      <c r="T472" s="48"/>
      <c r="U472" s="48">
        <v>85893</v>
      </c>
      <c r="V472" s="48"/>
      <c r="W472" s="48">
        <v>1952</v>
      </c>
      <c r="X472" s="48"/>
      <c r="Y472" s="48">
        <v>11700</v>
      </c>
      <c r="Z472" s="48"/>
      <c r="AA472" s="48">
        <v>0</v>
      </c>
      <c r="AB472" s="48"/>
      <c r="AC472" s="48">
        <v>0</v>
      </c>
      <c r="AD472" s="48"/>
      <c r="AE472" s="48">
        <f t="shared" si="27"/>
        <v>453783</v>
      </c>
      <c r="AF472" s="48"/>
      <c r="AG472" s="59"/>
      <c r="AH472" s="59"/>
      <c r="AI472" s="59"/>
      <c r="AJ472" s="59"/>
      <c r="AK472" s="59"/>
      <c r="AL472" s="8">
        <f>+'Gen Rev'!AI470-'Gen Exp'!AE472+'Gen Exp'!AI472-AK472</f>
        <v>93281</v>
      </c>
      <c r="AM472" s="21" t="str">
        <f>'Gen Rev'!A470</f>
        <v>Pandora</v>
      </c>
      <c r="AN472" s="67" t="str">
        <f t="shared" si="24"/>
        <v>Pandora</v>
      </c>
      <c r="AO472" s="67" t="b">
        <f t="shared" si="25"/>
        <v>1</v>
      </c>
    </row>
    <row r="473" spans="1:41" x14ac:dyDescent="0.2">
      <c r="A473" s="1" t="s">
        <v>526</v>
      </c>
      <c r="C473" s="1" t="s">
        <v>521</v>
      </c>
      <c r="E473" s="48">
        <v>0</v>
      </c>
      <c r="F473" s="48"/>
      <c r="G473" s="48">
        <v>0</v>
      </c>
      <c r="H473" s="48"/>
      <c r="I473" s="48">
        <v>0</v>
      </c>
      <c r="J473" s="48"/>
      <c r="K473" s="48">
        <v>0</v>
      </c>
      <c r="L473" s="48"/>
      <c r="M473" s="48">
        <v>1361.62</v>
      </c>
      <c r="N473" s="48"/>
      <c r="O473" s="48">
        <v>0</v>
      </c>
      <c r="P473" s="48"/>
      <c r="Q473" s="48">
        <v>13598.51</v>
      </c>
      <c r="R473" s="48"/>
      <c r="S473" s="48">
        <v>0</v>
      </c>
      <c r="T473" s="48"/>
      <c r="U473" s="48">
        <v>0</v>
      </c>
      <c r="V473" s="48"/>
      <c r="W473" s="48">
        <v>0</v>
      </c>
      <c r="X473" s="48"/>
      <c r="Y473" s="48">
        <v>0</v>
      </c>
      <c r="Z473" s="48"/>
      <c r="AA473" s="48">
        <v>0</v>
      </c>
      <c r="AB473" s="48"/>
      <c r="AC473" s="48">
        <v>0</v>
      </c>
      <c r="AD473" s="48"/>
      <c r="AE473" s="48">
        <f t="shared" si="27"/>
        <v>14960.130000000001</v>
      </c>
      <c r="AG473" s="55">
        <v>25703.86</v>
      </c>
      <c r="AI473" s="55">
        <v>64235.26</v>
      </c>
      <c r="AK473" s="55">
        <v>89939.12</v>
      </c>
      <c r="AL473" s="8">
        <f>+'Gen Rev'!AI471-'Gen Exp'!AE473+'Gen Exp'!AI473-AK473</f>
        <v>0</v>
      </c>
      <c r="AM473" s="21" t="str">
        <f>'Gen Rev'!A471</f>
        <v>Parral</v>
      </c>
      <c r="AN473" s="67" t="str">
        <f t="shared" si="24"/>
        <v>Parral</v>
      </c>
      <c r="AO473" s="67" t="b">
        <f t="shared" si="25"/>
        <v>1</v>
      </c>
    </row>
    <row r="474" spans="1:41" x14ac:dyDescent="0.2">
      <c r="A474" s="1" t="s">
        <v>370</v>
      </c>
      <c r="C474" s="1" t="s">
        <v>366</v>
      </c>
      <c r="D474" s="5"/>
      <c r="E474" s="48">
        <v>1893</v>
      </c>
      <c r="F474" s="48"/>
      <c r="G474" s="48">
        <v>278</v>
      </c>
      <c r="H474" s="48"/>
      <c r="I474" s="48">
        <v>0</v>
      </c>
      <c r="J474" s="48"/>
      <c r="K474" s="48">
        <v>0</v>
      </c>
      <c r="L474" s="48"/>
      <c r="M474" s="48">
        <v>0</v>
      </c>
      <c r="N474" s="48"/>
      <c r="O474" s="48">
        <v>0</v>
      </c>
      <c r="P474" s="48"/>
      <c r="Q474" s="48">
        <v>4672</v>
      </c>
      <c r="R474" s="48"/>
      <c r="S474" s="48">
        <v>0</v>
      </c>
      <c r="T474" s="48"/>
      <c r="U474" s="48">
        <v>0</v>
      </c>
      <c r="V474" s="48"/>
      <c r="W474" s="48">
        <v>0</v>
      </c>
      <c r="X474" s="48"/>
      <c r="Y474" s="48">
        <v>5413</v>
      </c>
      <c r="Z474" s="48"/>
      <c r="AA474" s="48">
        <v>0</v>
      </c>
      <c r="AB474" s="48"/>
      <c r="AC474" s="48">
        <v>0</v>
      </c>
      <c r="AD474" s="48"/>
      <c r="AE474" s="48">
        <f t="shared" si="27"/>
        <v>12256</v>
      </c>
      <c r="AF474" s="48"/>
      <c r="AG474" s="59"/>
      <c r="AH474" s="59"/>
      <c r="AI474" s="59"/>
      <c r="AJ474" s="59"/>
      <c r="AK474" s="59"/>
      <c r="AL474" s="8">
        <f>+'Gen Rev'!AI472-'Gen Exp'!AE474+'Gen Exp'!AI474-AK474</f>
        <v>-6046</v>
      </c>
      <c r="AM474" s="21" t="str">
        <f>'Gen Rev'!A472</f>
        <v>Patterson</v>
      </c>
      <c r="AN474" s="67" t="str">
        <f t="shared" si="24"/>
        <v>Patterson</v>
      </c>
      <c r="AO474" s="67" t="b">
        <f t="shared" si="25"/>
        <v>1</v>
      </c>
    </row>
    <row r="475" spans="1:41" x14ac:dyDescent="0.2">
      <c r="A475" s="1" t="s">
        <v>460</v>
      </c>
      <c r="C475" s="1" t="s">
        <v>460</v>
      </c>
      <c r="E475" s="48">
        <v>76341</v>
      </c>
      <c r="F475" s="48"/>
      <c r="G475" s="48">
        <v>22573</v>
      </c>
      <c r="H475" s="48"/>
      <c r="I475" s="48">
        <v>41731</v>
      </c>
      <c r="J475" s="48"/>
      <c r="K475" s="48">
        <v>6687</v>
      </c>
      <c r="L475" s="48"/>
      <c r="M475" s="48">
        <v>15540</v>
      </c>
      <c r="N475" s="48"/>
      <c r="O475" s="48">
        <v>244</v>
      </c>
      <c r="P475" s="48"/>
      <c r="Q475" s="48">
        <v>265936</v>
      </c>
      <c r="R475" s="48"/>
      <c r="S475" s="48">
        <v>150974</v>
      </c>
      <c r="T475" s="48"/>
      <c r="U475" s="48">
        <v>0</v>
      </c>
      <c r="V475" s="48"/>
      <c r="W475" s="48">
        <v>0</v>
      </c>
      <c r="X475" s="48"/>
      <c r="Y475" s="48">
        <v>436524</v>
      </c>
      <c r="Z475" s="48"/>
      <c r="AA475" s="48">
        <v>0</v>
      </c>
      <c r="AB475" s="48"/>
      <c r="AC475" s="48">
        <v>0</v>
      </c>
      <c r="AD475" s="48"/>
      <c r="AE475" s="48">
        <f t="shared" si="27"/>
        <v>1016550</v>
      </c>
      <c r="AF475" s="48"/>
      <c r="AG475" s="59"/>
      <c r="AH475" s="59"/>
      <c r="AI475" s="59"/>
      <c r="AJ475" s="59"/>
      <c r="AK475" s="59"/>
      <c r="AL475" s="8">
        <f>+'Gen Rev'!AI473-'Gen Exp'!AE475+'Gen Exp'!AI475-AK475</f>
        <v>-7397</v>
      </c>
      <c r="AM475" s="21" t="str">
        <f>'Gen Rev'!A473</f>
        <v>Paulding</v>
      </c>
      <c r="AN475" s="67" t="str">
        <f t="shared" si="24"/>
        <v>Paulding</v>
      </c>
      <c r="AO475" s="67" t="b">
        <f t="shared" si="25"/>
        <v>1</v>
      </c>
    </row>
    <row r="476" spans="1:41" x14ac:dyDescent="0.2">
      <c r="A476" s="1" t="s">
        <v>462</v>
      </c>
      <c r="C476" s="1" t="s">
        <v>460</v>
      </c>
      <c r="E476" s="48">
        <v>0</v>
      </c>
      <c r="F476" s="48"/>
      <c r="G476" s="48">
        <v>1637.84</v>
      </c>
      <c r="H476" s="48"/>
      <c r="I476" s="48">
        <v>2500</v>
      </c>
      <c r="J476" s="48"/>
      <c r="K476" s="48">
        <v>0</v>
      </c>
      <c r="L476" s="48"/>
      <c r="M476" s="48">
        <v>0</v>
      </c>
      <c r="N476" s="48"/>
      <c r="O476" s="48">
        <v>0</v>
      </c>
      <c r="P476" s="48"/>
      <c r="Q476" s="48">
        <v>71949.179999999993</v>
      </c>
      <c r="R476" s="48"/>
      <c r="S476" s="48">
        <v>0</v>
      </c>
      <c r="T476" s="48"/>
      <c r="U476" s="48">
        <v>0</v>
      </c>
      <c r="V476" s="48"/>
      <c r="W476" s="48">
        <v>0</v>
      </c>
      <c r="X476" s="48"/>
      <c r="Y476" s="48">
        <v>15439.44</v>
      </c>
      <c r="Z476" s="48"/>
      <c r="AA476" s="48">
        <v>0</v>
      </c>
      <c r="AB476" s="48"/>
      <c r="AC476" s="48">
        <v>72090</v>
      </c>
      <c r="AD476" s="48"/>
      <c r="AE476" s="48">
        <f t="shared" si="27"/>
        <v>163616.46</v>
      </c>
      <c r="AG476" s="55">
        <v>17507.599999999999</v>
      </c>
      <c r="AI476" s="55">
        <v>63366.34</v>
      </c>
      <c r="AK476" s="55">
        <v>80873.94</v>
      </c>
      <c r="AL476" s="8">
        <f>+'Gen Rev'!AI474-'Gen Exp'!AE476+'Gen Exp'!AI476-AK476</f>
        <v>0</v>
      </c>
      <c r="AM476" s="21" t="str">
        <f>'Gen Rev'!A474</f>
        <v>Payne</v>
      </c>
      <c r="AN476" s="67" t="str">
        <f t="shared" si="24"/>
        <v>Payne</v>
      </c>
      <c r="AO476" s="67" t="b">
        <f t="shared" si="25"/>
        <v>1</v>
      </c>
    </row>
    <row r="477" spans="1:41" x14ac:dyDescent="0.2">
      <c r="A477" s="1" t="s">
        <v>628</v>
      </c>
      <c r="C477" s="1" t="s">
        <v>616</v>
      </c>
      <c r="D477" s="67"/>
      <c r="E477" s="48">
        <v>96626.41</v>
      </c>
      <c r="F477" s="48"/>
      <c r="G477" s="48">
        <v>0</v>
      </c>
      <c r="H477" s="48"/>
      <c r="I477" s="48">
        <v>0</v>
      </c>
      <c r="J477" s="48"/>
      <c r="K477" s="48">
        <v>0</v>
      </c>
      <c r="L477" s="48"/>
      <c r="M477" s="48">
        <v>0</v>
      </c>
      <c r="N477" s="48"/>
      <c r="O477" s="48">
        <v>0</v>
      </c>
      <c r="P477" s="48"/>
      <c r="Q477" s="48">
        <v>127481.19</v>
      </c>
      <c r="R477" s="48"/>
      <c r="S477" s="48">
        <v>0</v>
      </c>
      <c r="T477" s="48"/>
      <c r="U477" s="48">
        <v>0</v>
      </c>
      <c r="V477" s="48"/>
      <c r="W477" s="48">
        <v>0</v>
      </c>
      <c r="X477" s="48"/>
      <c r="Y477" s="48">
        <v>0</v>
      </c>
      <c r="Z477" s="48"/>
      <c r="AA477" s="48">
        <v>0</v>
      </c>
      <c r="AB477" s="48"/>
      <c r="AC477" s="48">
        <v>0</v>
      </c>
      <c r="AD477" s="48"/>
      <c r="AE477" s="48">
        <f t="shared" si="27"/>
        <v>224107.6</v>
      </c>
      <c r="AG477" s="55">
        <v>12689.62</v>
      </c>
      <c r="AI477" s="55">
        <v>86237.1</v>
      </c>
      <c r="AK477" s="55">
        <v>98926.720000000001</v>
      </c>
      <c r="AL477" s="8">
        <f>+'Gen Rev'!AI478-'Gen Exp'!AE477+'Gen Exp'!AI477-AK477</f>
        <v>0</v>
      </c>
      <c r="AM477" s="21" t="str">
        <f>'Gen Rev'!A478</f>
        <v>Peebles</v>
      </c>
      <c r="AN477" s="67" t="str">
        <f t="shared" si="24"/>
        <v>Peebles</v>
      </c>
      <c r="AO477" s="67" t="b">
        <f t="shared" si="25"/>
        <v>1</v>
      </c>
    </row>
    <row r="478" spans="1:41" x14ac:dyDescent="0.2">
      <c r="A478" s="1" t="s">
        <v>563</v>
      </c>
      <c r="C478" s="1" t="s">
        <v>558</v>
      </c>
      <c r="E478" s="48">
        <v>193103.71</v>
      </c>
      <c r="F478" s="48"/>
      <c r="G478" s="48">
        <v>3151.66</v>
      </c>
      <c r="H478" s="48"/>
      <c r="I478" s="48">
        <v>0</v>
      </c>
      <c r="J478" s="48"/>
      <c r="K478" s="48">
        <v>0</v>
      </c>
      <c r="L478" s="48"/>
      <c r="M478" s="48">
        <v>77.099999999999994</v>
      </c>
      <c r="N478" s="48"/>
      <c r="O478" s="48">
        <v>0</v>
      </c>
      <c r="P478" s="48"/>
      <c r="Q478" s="48">
        <v>164578.45000000001</v>
      </c>
      <c r="R478" s="48"/>
      <c r="S478" s="48">
        <v>0</v>
      </c>
      <c r="T478" s="48"/>
      <c r="U478" s="48">
        <v>0</v>
      </c>
      <c r="V478" s="48"/>
      <c r="W478" s="48">
        <v>0</v>
      </c>
      <c r="X478" s="48"/>
      <c r="Y478" s="48">
        <v>12000</v>
      </c>
      <c r="Z478" s="48"/>
      <c r="AA478" s="48">
        <v>0</v>
      </c>
      <c r="AB478" s="48"/>
      <c r="AC478" s="48">
        <v>0</v>
      </c>
      <c r="AD478" s="48"/>
      <c r="AE478" s="48">
        <f t="shared" si="27"/>
        <v>372910.92000000004</v>
      </c>
      <c r="AG478" s="55">
        <v>-36558.629999999997</v>
      </c>
      <c r="AI478" s="55">
        <v>567844.24</v>
      </c>
      <c r="AK478" s="55">
        <v>531285.61</v>
      </c>
      <c r="AL478" s="8">
        <f>+'Gen Rev'!AI479-'Gen Exp'!AE478+'Gen Exp'!AI478-AK478</f>
        <v>0</v>
      </c>
      <c r="AM478" s="21" t="str">
        <f>'Gen Rev'!A479</f>
        <v>Pemberville</v>
      </c>
      <c r="AN478" s="67" t="str">
        <f t="shared" si="24"/>
        <v>Pemberville</v>
      </c>
      <c r="AO478" s="67" t="b">
        <f t="shared" si="25"/>
        <v>1</v>
      </c>
    </row>
    <row r="479" spans="1:41" x14ac:dyDescent="0.2">
      <c r="A479" s="1" t="s">
        <v>513</v>
      </c>
      <c r="C479" s="1" t="s">
        <v>511</v>
      </c>
      <c r="E479" s="48">
        <v>408424.88</v>
      </c>
      <c r="F479" s="48"/>
      <c r="G479" s="48">
        <v>7195.12</v>
      </c>
      <c r="H479" s="48"/>
      <c r="I479" s="48">
        <v>0</v>
      </c>
      <c r="J479" s="48"/>
      <c r="K479" s="48">
        <v>3244.99</v>
      </c>
      <c r="L479" s="48"/>
      <c r="M479" s="48">
        <v>0</v>
      </c>
      <c r="N479" s="48"/>
      <c r="O479" s="48">
        <v>93305</v>
      </c>
      <c r="P479" s="48"/>
      <c r="Q479" s="48">
        <v>181378.12</v>
      </c>
      <c r="R479" s="48"/>
      <c r="S479" s="48">
        <v>0</v>
      </c>
      <c r="T479" s="48"/>
      <c r="U479" s="48">
        <v>0</v>
      </c>
      <c r="V479" s="48"/>
      <c r="W479" s="48">
        <v>0</v>
      </c>
      <c r="X479" s="48"/>
      <c r="Y479" s="48">
        <v>0</v>
      </c>
      <c r="Z479" s="48"/>
      <c r="AA479" s="48">
        <v>0</v>
      </c>
      <c r="AB479" s="48"/>
      <c r="AC479" s="48">
        <v>0</v>
      </c>
      <c r="AD479" s="48"/>
      <c r="AE479" s="48">
        <f t="shared" si="27"/>
        <v>693548.11</v>
      </c>
      <c r="AG479" s="55">
        <v>-15809.35</v>
      </c>
      <c r="AI479" s="55">
        <v>46773.65</v>
      </c>
      <c r="AK479" s="55">
        <v>30964.3</v>
      </c>
      <c r="AL479" s="8">
        <f>+'Gen Rev'!AI480-'Gen Exp'!AE479+'Gen Exp'!AI479-AK479</f>
        <v>0</v>
      </c>
      <c r="AM479" s="21" t="str">
        <f>'Gen Rev'!A480</f>
        <v>Peninsula</v>
      </c>
      <c r="AN479" s="67" t="str">
        <f t="shared" ref="AN479:AN545" si="28">A479</f>
        <v>Peninsula</v>
      </c>
      <c r="AO479" s="67" t="b">
        <f t="shared" ref="AO479:AO545" si="29">AM479=AN479</f>
        <v>1</v>
      </c>
    </row>
    <row r="480" spans="1:41" x14ac:dyDescent="0.2">
      <c r="A480" s="1" t="s">
        <v>402</v>
      </c>
      <c r="C480" s="1" t="s">
        <v>399</v>
      </c>
      <c r="E480" s="48">
        <v>525476</v>
      </c>
      <c r="F480" s="48"/>
      <c r="G480" s="48">
        <v>11179</v>
      </c>
      <c r="H480" s="48"/>
      <c r="I480" s="48">
        <v>19289</v>
      </c>
      <c r="J480" s="48"/>
      <c r="K480" s="48">
        <v>7149</v>
      </c>
      <c r="L480" s="48"/>
      <c r="M480" s="48">
        <v>0</v>
      </c>
      <c r="N480" s="48"/>
      <c r="O480" s="48">
        <v>65219</v>
      </c>
      <c r="P480" s="48"/>
      <c r="Q480" s="48">
        <v>177570</v>
      </c>
      <c r="R480" s="48"/>
      <c r="S480" s="48">
        <v>0</v>
      </c>
      <c r="T480" s="48"/>
      <c r="U480" s="48">
        <v>0</v>
      </c>
      <c r="V480" s="48"/>
      <c r="W480" s="48">
        <v>0</v>
      </c>
      <c r="X480" s="48"/>
      <c r="Y480" s="48">
        <v>87313</v>
      </c>
      <c r="Z480" s="48"/>
      <c r="AA480" s="48">
        <v>0</v>
      </c>
      <c r="AB480" s="48"/>
      <c r="AC480" s="48">
        <v>0</v>
      </c>
      <c r="AD480" s="48"/>
      <c r="AE480" s="48">
        <f t="shared" si="27"/>
        <v>893195</v>
      </c>
      <c r="AF480" s="48"/>
      <c r="AG480" s="59"/>
      <c r="AH480" s="59"/>
      <c r="AI480" s="59"/>
      <c r="AJ480" s="59"/>
      <c r="AK480" s="59"/>
      <c r="AL480" s="8">
        <f>+'Gen Rev'!AI481-'Gen Exp'!AE480+'Gen Exp'!AI480-AK480</f>
        <v>26124</v>
      </c>
      <c r="AM480" s="21" t="str">
        <f>'Gen Rev'!A481</f>
        <v xml:space="preserve">Perry </v>
      </c>
      <c r="AN480" s="67" t="str">
        <f t="shared" si="28"/>
        <v xml:space="preserve">Perry </v>
      </c>
      <c r="AO480" s="67" t="b">
        <f t="shared" si="29"/>
        <v>1</v>
      </c>
    </row>
    <row r="481" spans="1:41" x14ac:dyDescent="0.2">
      <c r="A481" s="1" t="s">
        <v>629</v>
      </c>
      <c r="C481" s="1" t="s">
        <v>848</v>
      </c>
      <c r="D481" s="67"/>
      <c r="E481" s="48">
        <v>97734.87</v>
      </c>
      <c r="F481" s="48"/>
      <c r="G481" s="48">
        <v>324.14</v>
      </c>
      <c r="H481" s="48"/>
      <c r="I481" s="48">
        <v>3294.56</v>
      </c>
      <c r="J481" s="48"/>
      <c r="K481" s="48">
        <v>0</v>
      </c>
      <c r="L481" s="48"/>
      <c r="M481" s="48">
        <v>0</v>
      </c>
      <c r="N481" s="48"/>
      <c r="O481" s="48">
        <v>3420</v>
      </c>
      <c r="P481" s="48"/>
      <c r="Q481" s="48">
        <v>145617.60000000001</v>
      </c>
      <c r="R481" s="48"/>
      <c r="S481" s="48">
        <v>0</v>
      </c>
      <c r="T481" s="48"/>
      <c r="U481" s="48">
        <v>0</v>
      </c>
      <c r="V481" s="48"/>
      <c r="W481" s="48">
        <v>0</v>
      </c>
      <c r="X481" s="48"/>
      <c r="Y481" s="48">
        <v>0</v>
      </c>
      <c r="Z481" s="48"/>
      <c r="AA481" s="48">
        <v>0</v>
      </c>
      <c r="AB481" s="48"/>
      <c r="AC481" s="48">
        <v>0</v>
      </c>
      <c r="AD481" s="48"/>
      <c r="AE481" s="48">
        <f t="shared" si="27"/>
        <v>250391.16999999998</v>
      </c>
      <c r="AG481" s="55">
        <v>9903.2099999999991</v>
      </c>
      <c r="AI481" s="55">
        <v>243934.71</v>
      </c>
      <c r="AK481" s="55">
        <v>253837.92</v>
      </c>
      <c r="AL481" s="8">
        <f>+'Gen Rev'!AI482-'Gen Exp'!AE481+'Gen Exp'!AI481-AK481</f>
        <v>0</v>
      </c>
      <c r="AM481" s="21" t="str">
        <f>'Gen Rev'!A482</f>
        <v>Perrysville</v>
      </c>
      <c r="AN481" s="67" t="str">
        <f t="shared" si="28"/>
        <v>Perrysville</v>
      </c>
      <c r="AO481" s="67" t="b">
        <f t="shared" si="29"/>
        <v>1</v>
      </c>
    </row>
    <row r="482" spans="1:41" x14ac:dyDescent="0.2">
      <c r="A482" s="1" t="s">
        <v>448</v>
      </c>
      <c r="C482" s="1" t="s">
        <v>446</v>
      </c>
      <c r="E482" s="48">
        <v>0</v>
      </c>
      <c r="F482" s="48"/>
      <c r="G482" s="48">
        <v>0</v>
      </c>
      <c r="H482" s="48"/>
      <c r="I482" s="48">
        <v>0</v>
      </c>
      <c r="J482" s="48"/>
      <c r="K482" s="48">
        <v>2993</v>
      </c>
      <c r="L482" s="48"/>
      <c r="M482" s="48">
        <v>0</v>
      </c>
      <c r="N482" s="48"/>
      <c r="O482" s="48">
        <v>36757</v>
      </c>
      <c r="P482" s="48"/>
      <c r="Q482" s="48">
        <v>92752</v>
      </c>
      <c r="R482" s="48"/>
      <c r="S482" s="48">
        <v>3669</v>
      </c>
      <c r="T482" s="48"/>
      <c r="U482" s="48">
        <v>0</v>
      </c>
      <c r="V482" s="48"/>
      <c r="W482" s="48">
        <v>0</v>
      </c>
      <c r="X482" s="48"/>
      <c r="Y482" s="48">
        <v>1000</v>
      </c>
      <c r="Z482" s="48"/>
      <c r="AA482" s="48">
        <v>25000</v>
      </c>
      <c r="AB482" s="48"/>
      <c r="AC482" s="48">
        <v>57671</v>
      </c>
      <c r="AD482" s="48"/>
      <c r="AE482" s="48">
        <f t="shared" si="27"/>
        <v>219842</v>
      </c>
      <c r="AF482" s="48"/>
      <c r="AG482" s="59"/>
      <c r="AH482" s="59"/>
      <c r="AI482" s="59"/>
      <c r="AJ482" s="59"/>
      <c r="AK482" s="59"/>
      <c r="AL482" s="8">
        <f>+'Gen Rev'!AI483-'Gen Exp'!AE482+'Gen Exp'!AI482-AK482</f>
        <v>-17479</v>
      </c>
      <c r="AM482" s="21" t="str">
        <f>'Gen Rev'!A483</f>
        <v>Phillipsburg</v>
      </c>
      <c r="AN482" s="67" t="str">
        <f t="shared" si="28"/>
        <v>Phillipsburg</v>
      </c>
      <c r="AO482" s="67" t="b">
        <f t="shared" si="29"/>
        <v>1</v>
      </c>
    </row>
    <row r="483" spans="1:41" x14ac:dyDescent="0.2">
      <c r="A483" s="1" t="s">
        <v>452</v>
      </c>
      <c r="C483" s="1" t="s">
        <v>450</v>
      </c>
      <c r="E483" s="48">
        <v>9097</v>
      </c>
      <c r="F483" s="48"/>
      <c r="G483" s="48">
        <v>0</v>
      </c>
      <c r="H483" s="48"/>
      <c r="I483" s="48">
        <v>0</v>
      </c>
      <c r="J483" s="48"/>
      <c r="K483" s="48">
        <v>0</v>
      </c>
      <c r="L483" s="48"/>
      <c r="M483" s="48">
        <v>0</v>
      </c>
      <c r="N483" s="48"/>
      <c r="O483" s="48">
        <v>29103</v>
      </c>
      <c r="P483" s="48"/>
      <c r="Q483" s="48">
        <v>54431</v>
      </c>
      <c r="R483" s="48"/>
      <c r="S483" s="48">
        <v>0</v>
      </c>
      <c r="T483" s="48"/>
      <c r="U483" s="48">
        <v>0</v>
      </c>
      <c r="V483" s="48"/>
      <c r="W483" s="48">
        <v>0</v>
      </c>
      <c r="X483" s="48"/>
      <c r="Y483" s="48">
        <v>0</v>
      </c>
      <c r="Z483" s="48"/>
      <c r="AA483" s="48">
        <v>0</v>
      </c>
      <c r="AB483" s="48"/>
      <c r="AC483" s="48">
        <v>0</v>
      </c>
      <c r="AD483" s="48"/>
      <c r="AE483" s="48">
        <f t="shared" si="27"/>
        <v>92631</v>
      </c>
      <c r="AF483" s="48"/>
      <c r="AG483" s="59"/>
      <c r="AH483" s="59"/>
      <c r="AI483" s="59"/>
      <c r="AJ483" s="59"/>
      <c r="AK483" s="59"/>
      <c r="AL483" s="8">
        <f>+'Gen Rev'!AI484-'Gen Exp'!AE483+'Gen Exp'!AI483-AK483</f>
        <v>-4597</v>
      </c>
      <c r="AM483" s="21" t="str">
        <f>'Gen Rev'!A484</f>
        <v>Philo</v>
      </c>
      <c r="AN483" s="67" t="str">
        <f t="shared" si="28"/>
        <v>Philo</v>
      </c>
      <c r="AO483" s="67" t="b">
        <f t="shared" si="29"/>
        <v>1</v>
      </c>
    </row>
    <row r="484" spans="1:41" x14ac:dyDescent="0.2">
      <c r="A484" s="1" t="s">
        <v>468</v>
      </c>
      <c r="C484" s="1" t="s">
        <v>469</v>
      </c>
      <c r="E484" s="48">
        <v>25083.26</v>
      </c>
      <c r="F484" s="48"/>
      <c r="G484" s="48">
        <v>0</v>
      </c>
      <c r="H484" s="48"/>
      <c r="I484" s="48">
        <v>0</v>
      </c>
      <c r="J484" s="48"/>
      <c r="K484" s="48">
        <v>9593.19</v>
      </c>
      <c r="L484" s="48"/>
      <c r="M484" s="48">
        <v>0</v>
      </c>
      <c r="N484" s="48"/>
      <c r="O484" s="48">
        <v>89118.61</v>
      </c>
      <c r="P484" s="48"/>
      <c r="Q484" s="48">
        <v>245417.35</v>
      </c>
      <c r="R484" s="48"/>
      <c r="S484" s="48">
        <v>0</v>
      </c>
      <c r="T484" s="48"/>
      <c r="U484" s="48">
        <v>9000</v>
      </c>
      <c r="V484" s="48"/>
      <c r="W484" s="48">
        <v>9000</v>
      </c>
      <c r="X484" s="48"/>
      <c r="Y484" s="48">
        <v>0</v>
      </c>
      <c r="Z484" s="48"/>
      <c r="AA484" s="48">
        <v>0</v>
      </c>
      <c r="AB484" s="48"/>
      <c r="AC484" s="48">
        <v>0</v>
      </c>
      <c r="AD484" s="48"/>
      <c r="AE484" s="48">
        <f t="shared" si="27"/>
        <v>387212.41000000003</v>
      </c>
      <c r="AG484" s="55">
        <v>-33692.120000000003</v>
      </c>
      <c r="AI484" s="55">
        <v>411538.58</v>
      </c>
      <c r="AK484" s="55">
        <v>377846.46</v>
      </c>
      <c r="AL484" s="8">
        <f>+'Gen Rev'!AI485-'Gen Exp'!AE484+'Gen Exp'!AI484-AK484</f>
        <v>0</v>
      </c>
      <c r="AM484" s="21" t="str">
        <f>'Gen Rev'!A485</f>
        <v>Piketon</v>
      </c>
      <c r="AN484" s="67" t="str">
        <f t="shared" si="28"/>
        <v>Piketon</v>
      </c>
      <c r="AO484" s="67" t="b">
        <f t="shared" si="29"/>
        <v>1</v>
      </c>
    </row>
    <row r="485" spans="1:41" ht="12.75" x14ac:dyDescent="0.2">
      <c r="A485" s="1" t="s">
        <v>773</v>
      </c>
      <c r="C485" s="1" t="s">
        <v>554</v>
      </c>
      <c r="D485" s="7"/>
      <c r="E485" s="48">
        <v>327456</v>
      </c>
      <c r="F485" s="48"/>
      <c r="G485" s="48">
        <v>0</v>
      </c>
      <c r="H485" s="48"/>
      <c r="I485" s="48">
        <v>60122</v>
      </c>
      <c r="J485" s="48"/>
      <c r="K485" s="48">
        <v>9206</v>
      </c>
      <c r="L485" s="48"/>
      <c r="M485" s="48">
        <v>5319</v>
      </c>
      <c r="N485" s="48"/>
      <c r="O485" s="48">
        <v>52569</v>
      </c>
      <c r="P485" s="48"/>
      <c r="Q485" s="48">
        <v>167014</v>
      </c>
      <c r="R485" s="48"/>
      <c r="S485" s="48">
        <v>35995</v>
      </c>
      <c r="T485" s="48"/>
      <c r="U485" s="48">
        <v>0</v>
      </c>
      <c r="V485" s="48"/>
      <c r="W485" s="48">
        <v>0</v>
      </c>
      <c r="X485" s="48"/>
      <c r="Y485" s="48">
        <v>0</v>
      </c>
      <c r="Z485" s="48"/>
      <c r="AA485" s="48">
        <v>0</v>
      </c>
      <c r="AB485" s="48"/>
      <c r="AC485" s="48">
        <v>0</v>
      </c>
      <c r="AD485" s="48"/>
      <c r="AE485" s="48">
        <f t="shared" si="27"/>
        <v>657681</v>
      </c>
      <c r="AF485" s="48"/>
      <c r="AG485" s="59"/>
      <c r="AH485" s="59"/>
      <c r="AI485" s="59"/>
      <c r="AJ485" s="59"/>
      <c r="AK485" s="59"/>
      <c r="AL485" s="8">
        <f>+'Gen Rev'!AI486-'Gen Exp'!AE485+'Gen Exp'!AI485-AK485</f>
        <v>155797</v>
      </c>
      <c r="AM485" s="21" t="str">
        <f>'Gen Rev'!A486</f>
        <v>Pioneer</v>
      </c>
      <c r="AN485" s="67" t="str">
        <f t="shared" si="28"/>
        <v>Pioneer</v>
      </c>
      <c r="AO485" s="67" t="b">
        <f t="shared" si="29"/>
        <v>1</v>
      </c>
    </row>
    <row r="486" spans="1:41" x14ac:dyDescent="0.2">
      <c r="A486" s="1" t="s">
        <v>427</v>
      </c>
      <c r="C486" s="1" t="s">
        <v>401</v>
      </c>
      <c r="E486" s="48">
        <v>367246.66</v>
      </c>
      <c r="F486" s="48"/>
      <c r="G486" s="48">
        <v>0</v>
      </c>
      <c r="H486" s="48"/>
      <c r="I486" s="48">
        <v>0</v>
      </c>
      <c r="J486" s="48"/>
      <c r="K486" s="48">
        <v>0</v>
      </c>
      <c r="L486" s="48"/>
      <c r="M486" s="48">
        <v>270909.90999999997</v>
      </c>
      <c r="N486" s="48"/>
      <c r="O486" s="48">
        <v>0</v>
      </c>
      <c r="P486" s="48"/>
      <c r="Q486" s="48">
        <v>693864.83</v>
      </c>
      <c r="R486" s="48"/>
      <c r="S486" s="48">
        <v>0</v>
      </c>
      <c r="T486" s="48"/>
      <c r="U486" s="48">
        <v>0</v>
      </c>
      <c r="V486" s="48"/>
      <c r="W486" s="48">
        <v>0</v>
      </c>
      <c r="X486" s="48"/>
      <c r="Y486" s="48">
        <v>0</v>
      </c>
      <c r="Z486" s="48"/>
      <c r="AA486" s="48">
        <v>0</v>
      </c>
      <c r="AB486" s="48"/>
      <c r="AC486" s="48">
        <v>0</v>
      </c>
      <c r="AD486" s="48"/>
      <c r="AE486" s="48">
        <f t="shared" si="27"/>
        <v>1332021.3999999999</v>
      </c>
      <c r="AG486" s="55">
        <v>408224.21</v>
      </c>
      <c r="AI486" s="55">
        <v>1066734.8700000001</v>
      </c>
      <c r="AK486" s="55">
        <v>1474959.08</v>
      </c>
      <c r="AL486" s="8">
        <f>+'Gen Rev'!AI487-'Gen Exp'!AE486+'Gen Exp'!AI486-AK486</f>
        <v>0</v>
      </c>
      <c r="AM486" s="21" t="str">
        <f>'Gen Rev'!A487</f>
        <v>Plain City</v>
      </c>
      <c r="AN486" s="67" t="str">
        <f t="shared" si="28"/>
        <v>Plain City</v>
      </c>
      <c r="AO486" s="67" t="b">
        <f t="shared" si="29"/>
        <v>1</v>
      </c>
    </row>
    <row r="487" spans="1:41" x14ac:dyDescent="0.2">
      <c r="A487" s="1" t="s">
        <v>774</v>
      </c>
      <c r="C487" s="1" t="s">
        <v>285</v>
      </c>
      <c r="E487" s="48">
        <v>9203.5499999999993</v>
      </c>
      <c r="F487" s="48"/>
      <c r="G487" s="48">
        <v>0</v>
      </c>
      <c r="H487" s="48"/>
      <c r="I487" s="48">
        <v>0</v>
      </c>
      <c r="J487" s="48"/>
      <c r="K487" s="48">
        <v>0</v>
      </c>
      <c r="L487" s="48"/>
      <c r="M487" s="48">
        <v>0</v>
      </c>
      <c r="N487" s="48"/>
      <c r="O487" s="48">
        <v>0</v>
      </c>
      <c r="P487" s="48"/>
      <c r="Q487" s="48">
        <v>0</v>
      </c>
      <c r="R487" s="48"/>
      <c r="S487" s="48">
        <v>0</v>
      </c>
      <c r="T487" s="48"/>
      <c r="U487" s="48">
        <v>0</v>
      </c>
      <c r="V487" s="48"/>
      <c r="W487" s="48">
        <v>0</v>
      </c>
      <c r="X487" s="48"/>
      <c r="Y487" s="48">
        <v>0</v>
      </c>
      <c r="Z487" s="48"/>
      <c r="AA487" s="48">
        <v>0</v>
      </c>
      <c r="AB487" s="48"/>
      <c r="AC487" s="48">
        <v>0</v>
      </c>
      <c r="AD487" s="48"/>
      <c r="AE487" s="48">
        <f t="shared" si="27"/>
        <v>9203.5499999999993</v>
      </c>
      <c r="AG487" s="55">
        <v>-7514</v>
      </c>
      <c r="AI487" s="55">
        <v>47968.160000000003</v>
      </c>
      <c r="AK487" s="55">
        <v>40454.160000000003</v>
      </c>
      <c r="AL487" s="8">
        <f>+'Gen Rev'!AI488-'Gen Exp'!AE487+'Gen Exp'!AI487-AK487</f>
        <v>0</v>
      </c>
      <c r="AM487" s="21" t="str">
        <f>'Gen Rev'!A488</f>
        <v>Plainfield</v>
      </c>
      <c r="AN487" s="67" t="str">
        <f t="shared" si="28"/>
        <v>Plainfield</v>
      </c>
      <c r="AO487" s="67" t="b">
        <f t="shared" si="29"/>
        <v>1</v>
      </c>
    </row>
    <row r="488" spans="1:41" x14ac:dyDescent="0.2">
      <c r="A488" s="1" t="s">
        <v>150</v>
      </c>
      <c r="C488" s="1" t="s">
        <v>437</v>
      </c>
      <c r="E488" s="48">
        <v>25500</v>
      </c>
      <c r="F488" s="48"/>
      <c r="G488" s="48">
        <v>0</v>
      </c>
      <c r="H488" s="48"/>
      <c r="I488" s="48">
        <v>5536.88</v>
      </c>
      <c r="J488" s="48"/>
      <c r="K488" s="48">
        <v>0</v>
      </c>
      <c r="L488" s="48"/>
      <c r="M488" s="48">
        <v>0</v>
      </c>
      <c r="N488" s="48"/>
      <c r="O488" s="48">
        <v>21204.1</v>
      </c>
      <c r="P488" s="48"/>
      <c r="Q488" s="48">
        <v>109751.17</v>
      </c>
      <c r="R488" s="48"/>
      <c r="S488" s="48">
        <v>695.41</v>
      </c>
      <c r="T488" s="48"/>
      <c r="U488" s="48">
        <v>27638.03</v>
      </c>
      <c r="V488" s="48"/>
      <c r="W488" s="48">
        <v>0</v>
      </c>
      <c r="X488" s="48"/>
      <c r="Y488" s="48">
        <v>0</v>
      </c>
      <c r="Z488" s="48"/>
      <c r="AA488" s="48">
        <v>0</v>
      </c>
      <c r="AB488" s="48"/>
      <c r="AC488" s="48">
        <v>0</v>
      </c>
      <c r="AD488" s="48"/>
      <c r="AE488" s="48">
        <f t="shared" si="27"/>
        <v>190325.59</v>
      </c>
      <c r="AG488" s="55">
        <v>231959.42</v>
      </c>
      <c r="AI488" s="55">
        <v>383933.34</v>
      </c>
      <c r="AK488" s="55">
        <v>615892.76</v>
      </c>
      <c r="AL488" s="8">
        <f>+'Gen Rev'!AI489-'Gen Exp'!AE488+'Gen Exp'!AI488-AK488</f>
        <v>0</v>
      </c>
      <c r="AM488" s="21" t="str">
        <f>'Gen Rev'!A489</f>
        <v>Pleasant Hill</v>
      </c>
      <c r="AN488" s="67" t="str">
        <f t="shared" si="28"/>
        <v>Pleasant Hill</v>
      </c>
      <c r="AO488" s="67" t="b">
        <f t="shared" si="29"/>
        <v>1</v>
      </c>
    </row>
    <row r="489" spans="1:41" x14ac:dyDescent="0.2">
      <c r="A489" s="1" t="s">
        <v>227</v>
      </c>
      <c r="C489" s="1" t="s">
        <v>541</v>
      </c>
      <c r="E489" s="48">
        <v>2179.77</v>
      </c>
      <c r="F489" s="48"/>
      <c r="G489" s="48">
        <v>0</v>
      </c>
      <c r="H489" s="48"/>
      <c r="I489" s="48">
        <v>0</v>
      </c>
      <c r="J489" s="48"/>
      <c r="K489" s="48">
        <v>0</v>
      </c>
      <c r="L489" s="48"/>
      <c r="M489" s="48">
        <v>0</v>
      </c>
      <c r="N489" s="48"/>
      <c r="O489" s="48">
        <v>0</v>
      </c>
      <c r="P489" s="48"/>
      <c r="Q489" s="48">
        <v>11274.22</v>
      </c>
      <c r="R489" s="48"/>
      <c r="S489" s="48">
        <v>0</v>
      </c>
      <c r="T489" s="48"/>
      <c r="U489" s="48">
        <v>0</v>
      </c>
      <c r="V489" s="48"/>
      <c r="W489" s="48">
        <v>0</v>
      </c>
      <c r="X489" s="48"/>
      <c r="Y489" s="48">
        <v>0</v>
      </c>
      <c r="Z489" s="48"/>
      <c r="AA489" s="48">
        <v>0</v>
      </c>
      <c r="AB489" s="48"/>
      <c r="AC489" s="48">
        <v>0</v>
      </c>
      <c r="AD489" s="48"/>
      <c r="AE489" s="48">
        <f t="shared" si="27"/>
        <v>13453.99</v>
      </c>
      <c r="AG489" s="55">
        <v>-4084.19</v>
      </c>
      <c r="AI489" s="55">
        <v>13626.42</v>
      </c>
      <c r="AK489" s="55">
        <v>9542.23</v>
      </c>
      <c r="AL489" s="8">
        <f>+'Gen Rev'!AI490-'Gen Exp'!AE489+'Gen Exp'!AI489-AK489</f>
        <v>0</v>
      </c>
      <c r="AM489" s="21" t="str">
        <f>'Gen Rev'!A490</f>
        <v>Pleasant Plain</v>
      </c>
      <c r="AN489" s="67" t="str">
        <f t="shared" si="28"/>
        <v>Pleasant Plain</v>
      </c>
      <c r="AO489" s="67" t="b">
        <f t="shared" si="29"/>
        <v>1</v>
      </c>
    </row>
    <row r="490" spans="1:41" x14ac:dyDescent="0.2">
      <c r="A490" s="1" t="s">
        <v>59</v>
      </c>
      <c r="C490" s="1" t="s">
        <v>327</v>
      </c>
      <c r="E490" s="48">
        <v>25296.35</v>
      </c>
      <c r="F490" s="48"/>
      <c r="G490" s="48">
        <v>3646.68</v>
      </c>
      <c r="H490" s="48"/>
      <c r="I490" s="48">
        <v>0</v>
      </c>
      <c r="J490" s="48"/>
      <c r="K490" s="48">
        <v>1929.99</v>
      </c>
      <c r="L490" s="48"/>
      <c r="M490" s="48">
        <v>0</v>
      </c>
      <c r="N490" s="48"/>
      <c r="O490" s="48">
        <v>0</v>
      </c>
      <c r="P490" s="48"/>
      <c r="Q490" s="48">
        <v>39829.300000000003</v>
      </c>
      <c r="R490" s="48"/>
      <c r="S490" s="48">
        <v>0</v>
      </c>
      <c r="T490" s="48"/>
      <c r="U490" s="48">
        <v>0</v>
      </c>
      <c r="V490" s="48"/>
      <c r="W490" s="48">
        <v>0</v>
      </c>
      <c r="X490" s="48"/>
      <c r="Y490" s="48">
        <v>3538.38</v>
      </c>
      <c r="Z490" s="48"/>
      <c r="AA490" s="48">
        <v>4918.75</v>
      </c>
      <c r="AB490" s="48"/>
      <c r="AC490" s="48">
        <v>0</v>
      </c>
      <c r="AD490" s="48"/>
      <c r="AE490" s="48">
        <f t="shared" si="27"/>
        <v>79159.450000000012</v>
      </c>
      <c r="AG490" s="55">
        <v>8461.91</v>
      </c>
      <c r="AI490" s="55">
        <v>38666.01</v>
      </c>
      <c r="AK490" s="55">
        <v>47127.92</v>
      </c>
      <c r="AL490" s="8">
        <f>+'Gen Rev'!AI491-'Gen Exp'!AE490+'Gen Exp'!AI490-AK490</f>
        <v>0</v>
      </c>
      <c r="AM490" s="21" t="str">
        <f>'Gen Rev'!A491</f>
        <v>Pleasantville</v>
      </c>
      <c r="AN490" s="67" t="str">
        <f t="shared" si="28"/>
        <v>Pleasantville</v>
      </c>
      <c r="AO490" s="67" t="b">
        <f t="shared" si="29"/>
        <v>1</v>
      </c>
    </row>
    <row r="491" spans="1:41" x14ac:dyDescent="0.2">
      <c r="A491" s="1" t="s">
        <v>194</v>
      </c>
      <c r="C491" s="1" t="s">
        <v>481</v>
      </c>
      <c r="E491" s="48">
        <v>419077.26</v>
      </c>
      <c r="F491" s="48"/>
      <c r="G491" s="48">
        <v>0</v>
      </c>
      <c r="H491" s="48"/>
      <c r="I491" s="48">
        <v>0</v>
      </c>
      <c r="J491" s="48"/>
      <c r="K491" s="48">
        <v>0</v>
      </c>
      <c r="L491" s="48"/>
      <c r="M491" s="48">
        <v>0</v>
      </c>
      <c r="N491" s="48"/>
      <c r="O491" s="48">
        <v>0</v>
      </c>
      <c r="P491" s="48"/>
      <c r="Q491" s="48">
        <v>258278.34</v>
      </c>
      <c r="R491" s="48"/>
      <c r="S491" s="48">
        <v>0</v>
      </c>
      <c r="T491" s="48"/>
      <c r="U491" s="48">
        <v>0</v>
      </c>
      <c r="V491" s="48"/>
      <c r="W491" s="48">
        <v>0</v>
      </c>
      <c r="X491" s="48"/>
      <c r="Y491" s="48">
        <v>43479.75</v>
      </c>
      <c r="Z491" s="48"/>
      <c r="AA491" s="48">
        <v>0</v>
      </c>
      <c r="AB491" s="48"/>
      <c r="AC491" s="48">
        <v>0</v>
      </c>
      <c r="AD491" s="48"/>
      <c r="AE491" s="48">
        <f t="shared" si="27"/>
        <v>720835.35</v>
      </c>
      <c r="AG491" s="55">
        <v>-61344.75</v>
      </c>
      <c r="AI491" s="55">
        <v>221006.1</v>
      </c>
      <c r="AK491" s="55">
        <v>159661.35</v>
      </c>
      <c r="AL491" s="8">
        <f>+'Gen Rev'!AI492-'Gen Exp'!AE491+'Gen Exp'!AI491-AK491</f>
        <v>0</v>
      </c>
      <c r="AM491" s="21" t="str">
        <f>'Gen Rev'!A492</f>
        <v>Plymouth</v>
      </c>
      <c r="AN491" s="67" t="str">
        <f t="shared" si="28"/>
        <v>Plymouth</v>
      </c>
      <c r="AO491" s="67" t="b">
        <f t="shared" si="29"/>
        <v>1</v>
      </c>
    </row>
    <row r="492" spans="1:41" x14ac:dyDescent="0.2">
      <c r="A492" s="1" t="s">
        <v>136</v>
      </c>
      <c r="C492" s="1" t="s">
        <v>429</v>
      </c>
      <c r="E492" s="48">
        <v>380260.63</v>
      </c>
      <c r="F492" s="48"/>
      <c r="G492" s="48">
        <v>16197</v>
      </c>
      <c r="H492" s="48"/>
      <c r="I492" s="48">
        <v>0</v>
      </c>
      <c r="J492" s="48"/>
      <c r="K492" s="48">
        <v>8990.0400000000009</v>
      </c>
      <c r="L492" s="48"/>
      <c r="M492" s="48">
        <v>0</v>
      </c>
      <c r="N492" s="48"/>
      <c r="O492" s="48">
        <v>99854</v>
      </c>
      <c r="P492" s="48"/>
      <c r="Q492" s="48">
        <v>212489.96</v>
      </c>
      <c r="R492" s="48"/>
      <c r="S492" s="48">
        <v>0</v>
      </c>
      <c r="T492" s="48"/>
      <c r="U492" s="48">
        <v>0</v>
      </c>
      <c r="V492" s="48"/>
      <c r="W492" s="48">
        <v>0</v>
      </c>
      <c r="X492" s="48"/>
      <c r="Y492" s="48">
        <v>2.48</v>
      </c>
      <c r="Z492" s="48"/>
      <c r="AA492" s="48">
        <v>0</v>
      </c>
      <c r="AB492" s="48"/>
      <c r="AC492" s="48">
        <v>0</v>
      </c>
      <c r="AD492" s="48"/>
      <c r="AE492" s="48">
        <f t="shared" si="27"/>
        <v>717794.11</v>
      </c>
      <c r="AG492" s="55">
        <v>-17938.43</v>
      </c>
      <c r="AI492" s="55">
        <v>1461809.15</v>
      </c>
      <c r="AK492" s="55">
        <v>1443870.72</v>
      </c>
      <c r="AL492" s="8">
        <f>+'Gen Rev'!AI493-'Gen Exp'!AE492+'Gen Exp'!AI492-AK492</f>
        <v>0</v>
      </c>
      <c r="AM492" s="21" t="str">
        <f>'Gen Rev'!A493</f>
        <v>Poland</v>
      </c>
      <c r="AN492" s="67" t="str">
        <f t="shared" si="28"/>
        <v>Poland</v>
      </c>
      <c r="AO492" s="67" t="b">
        <f t="shared" si="29"/>
        <v>1</v>
      </c>
    </row>
    <row r="493" spans="1:41" x14ac:dyDescent="0.2">
      <c r="A493" s="1" t="s">
        <v>630</v>
      </c>
      <c r="C493" s="1" t="s">
        <v>848</v>
      </c>
      <c r="D493" s="67"/>
      <c r="E493" s="48">
        <v>4534.83</v>
      </c>
      <c r="F493" s="48"/>
      <c r="G493" s="48">
        <v>128.9</v>
      </c>
      <c r="H493" s="48"/>
      <c r="I493" s="48">
        <v>1499.86</v>
      </c>
      <c r="J493" s="48"/>
      <c r="K493" s="48">
        <v>1861.93</v>
      </c>
      <c r="L493" s="48"/>
      <c r="M493" s="48">
        <v>316.88</v>
      </c>
      <c r="N493" s="48"/>
      <c r="O493" s="48">
        <v>65.25</v>
      </c>
      <c r="P493" s="48"/>
      <c r="Q493" s="48">
        <v>23320.93</v>
      </c>
      <c r="R493" s="48"/>
      <c r="S493" s="48">
        <v>0</v>
      </c>
      <c r="T493" s="48"/>
      <c r="U493" s="48">
        <v>0</v>
      </c>
      <c r="V493" s="48"/>
      <c r="W493" s="48">
        <v>0</v>
      </c>
      <c r="X493" s="48"/>
      <c r="Y493" s="48">
        <v>0</v>
      </c>
      <c r="Z493" s="48"/>
      <c r="AA493" s="48">
        <v>0</v>
      </c>
      <c r="AB493" s="48"/>
      <c r="AC493" s="48">
        <v>0</v>
      </c>
      <c r="AD493" s="48"/>
      <c r="AE493" s="48">
        <f t="shared" si="27"/>
        <v>31728.58</v>
      </c>
      <c r="AG493" s="55">
        <v>-2651.35</v>
      </c>
      <c r="AI493" s="55">
        <v>6093.21</v>
      </c>
      <c r="AK493" s="55">
        <v>3441.86</v>
      </c>
      <c r="AL493" s="8">
        <f>+'Gen Rev'!AI494-'Gen Exp'!AE493+'Gen Exp'!AI493-AK493</f>
        <v>0</v>
      </c>
      <c r="AM493" s="21" t="str">
        <f>'Gen Rev'!A494</f>
        <v>Polk</v>
      </c>
      <c r="AN493" s="67" t="str">
        <f t="shared" si="28"/>
        <v>Polk</v>
      </c>
      <c r="AO493" s="67" t="b">
        <f t="shared" si="29"/>
        <v>1</v>
      </c>
    </row>
    <row r="494" spans="1:41" x14ac:dyDescent="0.2">
      <c r="A494" s="1" t="s">
        <v>775</v>
      </c>
      <c r="C494" s="1" t="s">
        <v>498</v>
      </c>
      <c r="E494" s="48">
        <v>13650</v>
      </c>
      <c r="F494" s="48"/>
      <c r="G494" s="48">
        <v>827</v>
      </c>
      <c r="H494" s="48"/>
      <c r="I494" s="48">
        <v>148</v>
      </c>
      <c r="J494" s="48"/>
      <c r="K494" s="48">
        <v>6471</v>
      </c>
      <c r="L494" s="48"/>
      <c r="M494" s="48">
        <v>0</v>
      </c>
      <c r="N494" s="48"/>
      <c r="O494" s="48">
        <v>0</v>
      </c>
      <c r="P494" s="48"/>
      <c r="Q494" s="48">
        <v>22991</v>
      </c>
      <c r="R494" s="48"/>
      <c r="S494" s="48">
        <v>0</v>
      </c>
      <c r="T494" s="48"/>
      <c r="U494" s="48">
        <v>0</v>
      </c>
      <c r="V494" s="48"/>
      <c r="W494" s="48">
        <v>0</v>
      </c>
      <c r="X494" s="48"/>
      <c r="Y494" s="48">
        <v>0</v>
      </c>
      <c r="Z494" s="48"/>
      <c r="AA494" s="48">
        <v>0</v>
      </c>
      <c r="AB494" s="48"/>
      <c r="AC494" s="48">
        <v>0</v>
      </c>
      <c r="AD494" s="48"/>
      <c r="AE494" s="48">
        <f t="shared" si="27"/>
        <v>44087</v>
      </c>
      <c r="AF494" s="48"/>
      <c r="AG494" s="59"/>
      <c r="AH494" s="59"/>
      <c r="AI494" s="59"/>
      <c r="AJ494" s="59"/>
      <c r="AK494" s="59"/>
      <c r="AL494" s="8">
        <f>+'Gen Rev'!AI495-'Gen Exp'!AE494+'Gen Exp'!AI494-AK494</f>
        <v>-5023</v>
      </c>
      <c r="AM494" s="21" t="str">
        <f>'Gen Rev'!A495</f>
        <v>Port Jefferson</v>
      </c>
      <c r="AN494" s="67" t="str">
        <f t="shared" si="28"/>
        <v>Port Jefferson</v>
      </c>
      <c r="AO494" s="67" t="b">
        <f t="shared" si="29"/>
        <v>1</v>
      </c>
    </row>
    <row r="495" spans="1:41" x14ac:dyDescent="0.2">
      <c r="A495" s="1" t="s">
        <v>631</v>
      </c>
      <c r="C495" s="1" t="s">
        <v>521</v>
      </c>
      <c r="E495" s="48">
        <v>21009.66</v>
      </c>
      <c r="F495" s="48"/>
      <c r="G495" s="48">
        <v>222.38</v>
      </c>
      <c r="H495" s="48"/>
      <c r="I495" s="48">
        <v>668.44</v>
      </c>
      <c r="J495" s="48"/>
      <c r="K495" s="48">
        <v>869.3</v>
      </c>
      <c r="L495" s="48"/>
      <c r="M495" s="48">
        <v>0</v>
      </c>
      <c r="N495" s="48"/>
      <c r="O495" s="48">
        <v>0</v>
      </c>
      <c r="P495" s="48"/>
      <c r="Q495" s="48">
        <v>58644.18</v>
      </c>
      <c r="R495" s="48"/>
      <c r="S495" s="48">
        <v>0</v>
      </c>
      <c r="T495" s="48"/>
      <c r="U495" s="48">
        <v>0</v>
      </c>
      <c r="V495" s="48"/>
      <c r="W495" s="48">
        <v>0</v>
      </c>
      <c r="X495" s="48"/>
      <c r="Y495" s="48">
        <v>0</v>
      </c>
      <c r="Z495" s="48"/>
      <c r="AA495" s="48">
        <v>0</v>
      </c>
      <c r="AB495" s="48"/>
      <c r="AC495" s="48">
        <v>0</v>
      </c>
      <c r="AD495" s="48"/>
      <c r="AE495" s="48">
        <f t="shared" si="27"/>
        <v>81413.959999999992</v>
      </c>
      <c r="AG495" s="55">
        <v>-26936.65</v>
      </c>
      <c r="AI495" s="55">
        <v>67464.44</v>
      </c>
      <c r="AK495" s="55">
        <v>40527.79</v>
      </c>
      <c r="AL495" s="8">
        <f>+'Gen Rev'!AI496-'Gen Exp'!AE495+'Gen Exp'!AI495-AK495</f>
        <v>0</v>
      </c>
      <c r="AM495" s="21" t="str">
        <f>'Gen Rev'!A496</f>
        <v>Port Washington</v>
      </c>
      <c r="AN495" s="67" t="str">
        <f t="shared" si="28"/>
        <v>Port Washington</v>
      </c>
      <c r="AO495" s="67" t="b">
        <f t="shared" si="29"/>
        <v>1</v>
      </c>
    </row>
    <row r="496" spans="1:41" x14ac:dyDescent="0.2">
      <c r="A496" s="1" t="s">
        <v>281</v>
      </c>
      <c r="C496" s="1" t="s">
        <v>280</v>
      </c>
      <c r="E496" s="48">
        <v>17398.669999999998</v>
      </c>
      <c r="F496" s="48"/>
      <c r="G496" s="48">
        <v>0</v>
      </c>
      <c r="H496" s="48"/>
      <c r="I496" s="48">
        <v>0</v>
      </c>
      <c r="J496" s="48"/>
      <c r="K496" s="48">
        <v>0</v>
      </c>
      <c r="L496" s="48"/>
      <c r="M496" s="48">
        <v>0</v>
      </c>
      <c r="N496" s="48"/>
      <c r="O496" s="48">
        <v>0</v>
      </c>
      <c r="P496" s="48"/>
      <c r="Q496" s="48">
        <v>19128.93</v>
      </c>
      <c r="R496" s="48"/>
      <c r="S496" s="48">
        <v>0</v>
      </c>
      <c r="T496" s="48"/>
      <c r="U496" s="48">
        <v>0</v>
      </c>
      <c r="V496" s="48"/>
      <c r="W496" s="48">
        <v>0</v>
      </c>
      <c r="X496" s="48"/>
      <c r="Y496" s="48">
        <v>0</v>
      </c>
      <c r="Z496" s="48"/>
      <c r="AA496" s="48">
        <v>0</v>
      </c>
      <c r="AB496" s="48"/>
      <c r="AC496" s="48">
        <v>0</v>
      </c>
      <c r="AD496" s="48"/>
      <c r="AE496" s="48">
        <f t="shared" si="27"/>
        <v>36527.599999999999</v>
      </c>
      <c r="AG496" s="55">
        <v>-1603.24</v>
      </c>
      <c r="AI496" s="55">
        <v>20721.189999999999</v>
      </c>
      <c r="AK496" s="55">
        <v>19117.95</v>
      </c>
      <c r="AL496" s="8">
        <f>+'Gen Rev'!AI497-'Gen Exp'!AE496+'Gen Exp'!AI496-AK496</f>
        <v>0</v>
      </c>
      <c r="AM496" s="21" t="str">
        <f>'Gen Rev'!A497</f>
        <v>Port William</v>
      </c>
      <c r="AN496" s="67" t="str">
        <f t="shared" si="28"/>
        <v>Port William</v>
      </c>
      <c r="AO496" s="67" t="b">
        <f t="shared" si="29"/>
        <v>1</v>
      </c>
    </row>
    <row r="497" spans="1:41" x14ac:dyDescent="0.2">
      <c r="A497" s="1" t="s">
        <v>241</v>
      </c>
      <c r="C497" s="1" t="s">
        <v>558</v>
      </c>
      <c r="E497" s="48">
        <v>0</v>
      </c>
      <c r="F497" s="48"/>
      <c r="G497" s="48">
        <v>291.89999999999998</v>
      </c>
      <c r="H497" s="48"/>
      <c r="I497" s="48">
        <v>146.4</v>
      </c>
      <c r="J497" s="48"/>
      <c r="K497" s="48">
        <v>611.24</v>
      </c>
      <c r="L497" s="48"/>
      <c r="M497" s="48">
        <v>0</v>
      </c>
      <c r="N497" s="48"/>
      <c r="O497" s="48">
        <v>0</v>
      </c>
      <c r="P497" s="48"/>
      <c r="Q497" s="48">
        <v>46222.400000000001</v>
      </c>
      <c r="R497" s="48"/>
      <c r="S497" s="48">
        <v>0</v>
      </c>
      <c r="T497" s="48"/>
      <c r="U497" s="48">
        <v>1418.83</v>
      </c>
      <c r="V497" s="48"/>
      <c r="W497" s="48">
        <v>14.69</v>
      </c>
      <c r="X497" s="48"/>
      <c r="Y497" s="48">
        <v>0</v>
      </c>
      <c r="Z497" s="48"/>
      <c r="AA497" s="48">
        <v>0</v>
      </c>
      <c r="AB497" s="48"/>
      <c r="AC497" s="48">
        <v>0</v>
      </c>
      <c r="AD497" s="48"/>
      <c r="AE497" s="48">
        <f t="shared" si="27"/>
        <v>48705.460000000006</v>
      </c>
      <c r="AG497" s="55">
        <v>58048.89</v>
      </c>
      <c r="AI497" s="55">
        <v>-74602.59</v>
      </c>
      <c r="AK497" s="55">
        <v>-16553.7</v>
      </c>
      <c r="AL497" s="8">
        <f>+'Gen Rev'!AI498-'Gen Exp'!AE497+'Gen Exp'!AI497-AK497</f>
        <v>0</v>
      </c>
      <c r="AM497" s="21" t="str">
        <f>'Gen Rev'!A498</f>
        <v>Portage</v>
      </c>
      <c r="AN497" s="67" t="str">
        <f t="shared" si="28"/>
        <v>Portage</v>
      </c>
      <c r="AO497" s="67" t="b">
        <f t="shared" si="29"/>
        <v>1</v>
      </c>
    </row>
    <row r="498" spans="1:41" x14ac:dyDescent="0.2">
      <c r="A498" s="1" t="s">
        <v>438</v>
      </c>
      <c r="C498" s="1" t="s">
        <v>437</v>
      </c>
      <c r="E498" s="48">
        <v>2000</v>
      </c>
      <c r="F498" s="48"/>
      <c r="G498" s="48">
        <v>0</v>
      </c>
      <c r="H498" s="48"/>
      <c r="I498" s="48">
        <v>960</v>
      </c>
      <c r="J498" s="48"/>
      <c r="K498" s="48">
        <v>0</v>
      </c>
      <c r="L498" s="48"/>
      <c r="M498" s="48">
        <v>0</v>
      </c>
      <c r="N498" s="48"/>
      <c r="O498" s="48">
        <v>0</v>
      </c>
      <c r="P498" s="48"/>
      <c r="Q498" s="48">
        <v>17535</v>
      </c>
      <c r="R498" s="48"/>
      <c r="S498" s="48">
        <v>0</v>
      </c>
      <c r="T498" s="48"/>
      <c r="U498" s="48">
        <v>0</v>
      </c>
      <c r="V498" s="48"/>
      <c r="W498" s="48">
        <v>0</v>
      </c>
      <c r="X498" s="48"/>
      <c r="Y498" s="48">
        <v>8200</v>
      </c>
      <c r="Z498" s="48"/>
      <c r="AA498" s="48">
        <v>0</v>
      </c>
      <c r="AB498" s="48"/>
      <c r="AC498" s="48">
        <v>0</v>
      </c>
      <c r="AD498" s="48"/>
      <c r="AE498" s="48">
        <f t="shared" si="27"/>
        <v>28695</v>
      </c>
      <c r="AG498" s="55">
        <v>-2516.25</v>
      </c>
      <c r="AI498" s="55">
        <v>41463.79</v>
      </c>
      <c r="AK498" s="55">
        <v>38947.54</v>
      </c>
      <c r="AL498" s="8">
        <f>+'Gen Rev'!AI499-'Gen Exp'!AE498+'Gen Exp'!AI498-AK498</f>
        <v>0</v>
      </c>
      <c r="AM498" s="21" t="str">
        <f>'Gen Rev'!A499</f>
        <v>Potsdam</v>
      </c>
      <c r="AN498" s="67" t="str">
        <f t="shared" si="28"/>
        <v>Potsdam</v>
      </c>
      <c r="AO498" s="67" t="b">
        <f t="shared" si="29"/>
        <v>1</v>
      </c>
    </row>
    <row r="499" spans="1:41" x14ac:dyDescent="0.2">
      <c r="A499" s="1" t="s">
        <v>19</v>
      </c>
      <c r="C499" s="1" t="s">
        <v>261</v>
      </c>
      <c r="E499" s="48">
        <v>162708.9</v>
      </c>
      <c r="F499" s="48"/>
      <c r="G499" s="48">
        <v>4881.34</v>
      </c>
      <c r="H499" s="48"/>
      <c r="I499" s="48">
        <v>0</v>
      </c>
      <c r="J499" s="48"/>
      <c r="K499" s="48">
        <v>0</v>
      </c>
      <c r="L499" s="48"/>
      <c r="M499" s="48">
        <v>0</v>
      </c>
      <c r="N499" s="48"/>
      <c r="O499" s="48">
        <v>0</v>
      </c>
      <c r="P499" s="48"/>
      <c r="Q499" s="48">
        <v>152918.26</v>
      </c>
      <c r="R499" s="48"/>
      <c r="S499" s="48">
        <v>5489.5</v>
      </c>
      <c r="T499" s="48"/>
      <c r="U499" s="48">
        <v>0</v>
      </c>
      <c r="V499" s="48"/>
      <c r="W499" s="48">
        <v>0</v>
      </c>
      <c r="X499" s="48"/>
      <c r="Y499" s="48">
        <v>10000</v>
      </c>
      <c r="Z499" s="48"/>
      <c r="AA499" s="48">
        <v>0</v>
      </c>
      <c r="AB499" s="48"/>
      <c r="AC499" s="48">
        <v>0</v>
      </c>
      <c r="AD499" s="48"/>
      <c r="AE499" s="48">
        <f t="shared" si="27"/>
        <v>335998</v>
      </c>
      <c r="AG499" s="55">
        <v>-28966.91</v>
      </c>
      <c r="AI499" s="55">
        <v>151865.84</v>
      </c>
      <c r="AK499" s="55">
        <v>122898.93</v>
      </c>
      <c r="AL499" s="8">
        <f>+'Gen Rev'!AI500-'Gen Exp'!AE499+'Gen Exp'!AI499-AK499</f>
        <v>0</v>
      </c>
      <c r="AM499" s="21" t="str">
        <f>'Gen Rev'!A500</f>
        <v>Powhatan Point</v>
      </c>
      <c r="AN499" s="67" t="str">
        <f t="shared" si="28"/>
        <v>Powhatan Point</v>
      </c>
      <c r="AO499" s="67" t="b">
        <f t="shared" si="29"/>
        <v>1</v>
      </c>
    </row>
    <row r="500" spans="1:41" x14ac:dyDescent="0.2">
      <c r="A500" s="1" t="s">
        <v>119</v>
      </c>
      <c r="C500" s="1" t="s">
        <v>406</v>
      </c>
      <c r="E500" s="48">
        <v>170620.41</v>
      </c>
      <c r="F500" s="48"/>
      <c r="G500" s="48">
        <v>0</v>
      </c>
      <c r="H500" s="48"/>
      <c r="I500" s="48">
        <v>150</v>
      </c>
      <c r="J500" s="48"/>
      <c r="K500" s="48">
        <v>0</v>
      </c>
      <c r="L500" s="48"/>
      <c r="M500" s="48">
        <v>0</v>
      </c>
      <c r="N500" s="48"/>
      <c r="O500" s="48">
        <v>0</v>
      </c>
      <c r="P500" s="48"/>
      <c r="Q500" s="48">
        <v>54598.2</v>
      </c>
      <c r="R500" s="48"/>
      <c r="S500" s="48">
        <v>0</v>
      </c>
      <c r="T500" s="48"/>
      <c r="U500" s="48">
        <v>0</v>
      </c>
      <c r="V500" s="48"/>
      <c r="W500" s="48">
        <v>0</v>
      </c>
      <c r="X500" s="48"/>
      <c r="Y500" s="48">
        <v>0</v>
      </c>
      <c r="Z500" s="48"/>
      <c r="AA500" s="48">
        <v>0</v>
      </c>
      <c r="AB500" s="48"/>
      <c r="AC500" s="48">
        <v>1458.41</v>
      </c>
      <c r="AD500" s="48"/>
      <c r="AE500" s="48">
        <f t="shared" si="27"/>
        <v>226827.02</v>
      </c>
      <c r="AG500" s="55">
        <v>-12269.77</v>
      </c>
      <c r="AI500" s="55">
        <v>9235.44</v>
      </c>
      <c r="AK500" s="55">
        <v>-3034.33</v>
      </c>
      <c r="AL500" s="8">
        <f>+'Gen Rev'!AI501-'Gen Exp'!AE500+'Gen Exp'!AI500-AK500</f>
        <v>1.0913936421275139E-11</v>
      </c>
      <c r="AM500" s="21" t="str">
        <f>'Gen Rev'!A501</f>
        <v>Proctorville</v>
      </c>
      <c r="AN500" s="67" t="str">
        <f t="shared" si="28"/>
        <v>Proctorville</v>
      </c>
      <c r="AO500" s="67" t="b">
        <f t="shared" si="29"/>
        <v>1</v>
      </c>
    </row>
    <row r="501" spans="1:41" x14ac:dyDescent="0.2">
      <c r="A501" s="1" t="s">
        <v>140</v>
      </c>
      <c r="C501" s="1" t="s">
        <v>430</v>
      </c>
      <c r="E501" s="48">
        <v>38370.449999999997</v>
      </c>
      <c r="F501" s="48"/>
      <c r="G501" s="48">
        <v>1049.2</v>
      </c>
      <c r="H501" s="48"/>
      <c r="I501" s="48">
        <v>12265.55</v>
      </c>
      <c r="J501" s="48"/>
      <c r="K501" s="48">
        <v>0</v>
      </c>
      <c r="L501" s="48"/>
      <c r="M501" s="48">
        <v>0</v>
      </c>
      <c r="N501" s="48"/>
      <c r="O501" s="48">
        <v>0</v>
      </c>
      <c r="P501" s="48"/>
      <c r="Q501" s="48">
        <v>57242.71</v>
      </c>
      <c r="R501" s="48"/>
      <c r="S501" s="48">
        <v>0</v>
      </c>
      <c r="T501" s="48"/>
      <c r="U501" s="48">
        <v>0</v>
      </c>
      <c r="V501" s="48"/>
      <c r="W501" s="48">
        <v>0</v>
      </c>
      <c r="X501" s="48"/>
      <c r="Y501" s="48">
        <v>0</v>
      </c>
      <c r="Z501" s="48"/>
      <c r="AA501" s="48">
        <v>0</v>
      </c>
      <c r="AB501" s="48"/>
      <c r="AC501" s="48">
        <v>0</v>
      </c>
      <c r="AD501" s="48"/>
      <c r="AE501" s="48">
        <f t="shared" si="27"/>
        <v>108927.91</v>
      </c>
      <c r="AG501" s="55">
        <v>-13486.09</v>
      </c>
      <c r="AI501" s="55">
        <v>54022.74</v>
      </c>
      <c r="AK501" s="55">
        <v>40536.65</v>
      </c>
      <c r="AL501" s="8">
        <f>+'Gen Rev'!AI502-'Gen Exp'!AE501+'Gen Exp'!AI501-AK501</f>
        <v>0</v>
      </c>
      <c r="AM501" s="21" t="str">
        <f>'Gen Rev'!A502</f>
        <v>Prospect</v>
      </c>
      <c r="AN501" s="67" t="str">
        <f t="shared" si="28"/>
        <v>Prospect</v>
      </c>
      <c r="AO501" s="67" t="b">
        <f t="shared" si="29"/>
        <v>1</v>
      </c>
    </row>
    <row r="502" spans="1:41" x14ac:dyDescent="0.2">
      <c r="A502" s="1" t="s">
        <v>167</v>
      </c>
      <c r="C502" s="1" t="s">
        <v>192</v>
      </c>
      <c r="E502" s="48">
        <v>634396.62</v>
      </c>
      <c r="F502" s="48"/>
      <c r="G502" s="48">
        <v>6747.21</v>
      </c>
      <c r="H502" s="48"/>
      <c r="I502" s="48">
        <v>246872.14</v>
      </c>
      <c r="J502" s="48"/>
      <c r="K502" s="48">
        <v>4707.28</v>
      </c>
      <c r="L502" s="48"/>
      <c r="M502" s="48">
        <v>0</v>
      </c>
      <c r="N502" s="48"/>
      <c r="O502" s="48">
        <v>65635.320000000007</v>
      </c>
      <c r="P502" s="48"/>
      <c r="Q502" s="48">
        <v>334364.2</v>
      </c>
      <c r="R502" s="48"/>
      <c r="S502" s="48">
        <v>119071.67</v>
      </c>
      <c r="T502" s="48"/>
      <c r="U502" s="48">
        <v>0</v>
      </c>
      <c r="V502" s="48"/>
      <c r="W502" s="48">
        <v>132187.09</v>
      </c>
      <c r="X502" s="48"/>
      <c r="Y502" s="48">
        <v>5000</v>
      </c>
      <c r="Z502" s="48"/>
      <c r="AA502" s="48">
        <v>0</v>
      </c>
      <c r="AB502" s="48"/>
      <c r="AC502" s="48">
        <v>0</v>
      </c>
      <c r="AD502" s="48"/>
      <c r="AE502" s="48">
        <f t="shared" si="27"/>
        <v>1548981.53</v>
      </c>
      <c r="AG502" s="55">
        <v>194652.49</v>
      </c>
      <c r="AI502" s="55">
        <v>900174.71</v>
      </c>
      <c r="AK502" s="55">
        <v>1094827.2</v>
      </c>
      <c r="AL502" s="8">
        <f>+'Gen Rev'!AI503-'Gen Exp'!AE502+'Gen Exp'!AI502-AK502</f>
        <v>0</v>
      </c>
      <c r="AM502" s="21" t="str">
        <f>'Gen Rev'!A503</f>
        <v>Put-In-Bay</v>
      </c>
      <c r="AN502" s="67" t="str">
        <f t="shared" si="28"/>
        <v>Put-In-Bay</v>
      </c>
      <c r="AO502" s="67" t="b">
        <f t="shared" si="29"/>
        <v>1</v>
      </c>
    </row>
    <row r="503" spans="1:41" x14ac:dyDescent="0.2">
      <c r="A503" s="1" t="s">
        <v>84</v>
      </c>
      <c r="C503" s="1" t="s">
        <v>349</v>
      </c>
      <c r="E503" s="48">
        <v>8873.5</v>
      </c>
      <c r="F503" s="48"/>
      <c r="G503" s="48">
        <v>2819.41</v>
      </c>
      <c r="H503" s="48"/>
      <c r="I503" s="48">
        <v>6069.54</v>
      </c>
      <c r="J503" s="48"/>
      <c r="K503" s="48">
        <v>0</v>
      </c>
      <c r="L503" s="48"/>
      <c r="M503" s="48">
        <v>0</v>
      </c>
      <c r="N503" s="48"/>
      <c r="O503" s="48">
        <v>0</v>
      </c>
      <c r="P503" s="48"/>
      <c r="Q503" s="48">
        <v>17602.82</v>
      </c>
      <c r="R503" s="48"/>
      <c r="S503" s="48">
        <v>8136.05</v>
      </c>
      <c r="T503" s="48"/>
      <c r="U503" s="48">
        <v>0</v>
      </c>
      <c r="V503" s="48"/>
      <c r="W503" s="48">
        <v>0</v>
      </c>
      <c r="X503" s="48"/>
      <c r="Y503" s="48">
        <v>0</v>
      </c>
      <c r="Z503" s="48"/>
      <c r="AA503" s="48">
        <v>0</v>
      </c>
      <c r="AB503" s="48"/>
      <c r="AC503" s="48">
        <v>0</v>
      </c>
      <c r="AD503" s="48"/>
      <c r="AE503" s="48">
        <f t="shared" si="27"/>
        <v>43501.320000000007</v>
      </c>
      <c r="AG503" s="55">
        <v>132020.34</v>
      </c>
      <c r="AI503" s="55">
        <v>21800.37</v>
      </c>
      <c r="AK503" s="55">
        <v>153820.71</v>
      </c>
      <c r="AL503" s="8">
        <f>+'Gen Rev'!AI504-'Gen Exp'!AE503+'Gen Exp'!AI503-AK503</f>
        <v>0</v>
      </c>
      <c r="AM503" s="21" t="str">
        <f>'Gen Rev'!A504</f>
        <v>Quaker City</v>
      </c>
      <c r="AN503" s="67" t="str">
        <f t="shared" si="28"/>
        <v>Quaker City</v>
      </c>
      <c r="AO503" s="67" t="b">
        <f t="shared" si="29"/>
        <v>1</v>
      </c>
    </row>
    <row r="504" spans="1:41" x14ac:dyDescent="0.2">
      <c r="A504" s="1" t="s">
        <v>125</v>
      </c>
      <c r="C504" s="1" t="s">
        <v>414</v>
      </c>
      <c r="E504" s="48">
        <v>17331.88</v>
      </c>
      <c r="F504" s="48"/>
      <c r="G504" s="48">
        <v>0</v>
      </c>
      <c r="H504" s="48"/>
      <c r="I504" s="48">
        <v>22108.92</v>
      </c>
      <c r="J504" s="48"/>
      <c r="K504" s="48">
        <v>0</v>
      </c>
      <c r="L504" s="48"/>
      <c r="M504" s="48">
        <v>0</v>
      </c>
      <c r="N504" s="48"/>
      <c r="O504" s="48">
        <v>0</v>
      </c>
      <c r="P504" s="48"/>
      <c r="Q504" s="48">
        <v>49379.3</v>
      </c>
      <c r="R504" s="48"/>
      <c r="S504" s="48">
        <v>8268.01</v>
      </c>
      <c r="T504" s="48"/>
      <c r="U504" s="48">
        <v>11699.56</v>
      </c>
      <c r="V504" s="48"/>
      <c r="W504" s="48">
        <v>2584.04</v>
      </c>
      <c r="X504" s="48"/>
      <c r="Y504" s="48">
        <v>0</v>
      </c>
      <c r="Z504" s="48"/>
      <c r="AA504" s="48">
        <v>0</v>
      </c>
      <c r="AB504" s="48"/>
      <c r="AC504" s="48">
        <v>0</v>
      </c>
      <c r="AD504" s="48"/>
      <c r="AE504" s="48">
        <f t="shared" ref="AE504:AE541" si="30">SUM(E504:AC504)</f>
        <v>111371.70999999999</v>
      </c>
      <c r="AG504" s="55">
        <v>4672.25</v>
      </c>
      <c r="AI504" s="55">
        <v>29227.25</v>
      </c>
      <c r="AK504" s="55">
        <v>33899.5</v>
      </c>
      <c r="AL504" s="8">
        <f>+'Gen Rev'!AI505-'Gen Exp'!AE504+'Gen Exp'!AI504-AK504</f>
        <v>0</v>
      </c>
      <c r="AM504" s="21" t="str">
        <f>'Gen Rev'!A505</f>
        <v>Quincy</v>
      </c>
      <c r="AN504" s="67" t="str">
        <f t="shared" si="28"/>
        <v>Quincy</v>
      </c>
      <c r="AO504" s="67" t="b">
        <f t="shared" si="29"/>
        <v>1</v>
      </c>
    </row>
    <row r="505" spans="1:41" x14ac:dyDescent="0.2">
      <c r="A505" s="1" t="s">
        <v>146</v>
      </c>
      <c r="C505" s="1" t="s">
        <v>431</v>
      </c>
      <c r="E505" s="48">
        <v>33075.839999999997</v>
      </c>
      <c r="F505" s="48"/>
      <c r="G505" s="48">
        <v>0</v>
      </c>
      <c r="H505" s="48"/>
      <c r="I505" s="48">
        <v>4000</v>
      </c>
      <c r="J505" s="48"/>
      <c r="K505" s="48">
        <v>492.96</v>
      </c>
      <c r="L505" s="48"/>
      <c r="M505" s="48">
        <v>8131.83</v>
      </c>
      <c r="N505" s="48"/>
      <c r="O505" s="48">
        <v>19552.72</v>
      </c>
      <c r="P505" s="48"/>
      <c r="Q505" s="48">
        <v>34832.949999999997</v>
      </c>
      <c r="R505" s="48"/>
      <c r="S505" s="48">
        <v>0</v>
      </c>
      <c r="T505" s="48"/>
      <c r="U505" s="48">
        <v>10000</v>
      </c>
      <c r="V505" s="48"/>
      <c r="W505" s="48">
        <v>1500</v>
      </c>
      <c r="X505" s="48"/>
      <c r="Y505" s="48">
        <v>0</v>
      </c>
      <c r="Z505" s="48"/>
      <c r="AA505" s="48">
        <v>0</v>
      </c>
      <c r="AB505" s="48"/>
      <c r="AC505" s="48">
        <v>0</v>
      </c>
      <c r="AD505" s="48"/>
      <c r="AE505" s="48">
        <f t="shared" si="30"/>
        <v>111586.29999999999</v>
      </c>
      <c r="AG505" s="55">
        <v>11928.36</v>
      </c>
      <c r="AI505" s="55">
        <v>33443.69</v>
      </c>
      <c r="AK505" s="55">
        <v>45372.05</v>
      </c>
      <c r="AL505" s="8">
        <f>+'Gen Rev'!AI506-'Gen Exp'!AE505+'Gen Exp'!AI505-AK505</f>
        <v>0</v>
      </c>
      <c r="AM505" s="21" t="str">
        <f>'Gen Rev'!A506</f>
        <v>Racine</v>
      </c>
      <c r="AN505" s="67" t="str">
        <f t="shared" si="28"/>
        <v>Racine</v>
      </c>
      <c r="AO505" s="67" t="b">
        <f t="shared" si="29"/>
        <v>1</v>
      </c>
    </row>
    <row r="506" spans="1:41" x14ac:dyDescent="0.2">
      <c r="A506" s="1" t="s">
        <v>492</v>
      </c>
      <c r="C506" s="1" t="s">
        <v>491</v>
      </c>
      <c r="D506" s="67"/>
      <c r="E506" s="48">
        <v>0</v>
      </c>
      <c r="F506" s="48"/>
      <c r="G506" s="48">
        <v>0</v>
      </c>
      <c r="H506" s="48"/>
      <c r="I506" s="48">
        <v>0</v>
      </c>
      <c r="J506" s="48"/>
      <c r="K506" s="48">
        <v>0</v>
      </c>
      <c r="L506" s="48"/>
      <c r="M506" s="48">
        <v>0</v>
      </c>
      <c r="N506" s="48"/>
      <c r="O506" s="48">
        <v>0</v>
      </c>
      <c r="P506" s="48"/>
      <c r="Q506" s="48">
        <v>21730</v>
      </c>
      <c r="R506" s="48"/>
      <c r="S506" s="48">
        <v>0</v>
      </c>
      <c r="T506" s="48"/>
      <c r="U506" s="48">
        <v>0</v>
      </c>
      <c r="V506" s="48"/>
      <c r="W506" s="48">
        <v>0</v>
      </c>
      <c r="X506" s="48"/>
      <c r="Y506" s="48">
        <v>0</v>
      </c>
      <c r="Z506" s="48"/>
      <c r="AA506" s="48">
        <v>0</v>
      </c>
      <c r="AB506" s="48"/>
      <c r="AC506" s="48">
        <v>0</v>
      </c>
      <c r="AD506" s="48"/>
      <c r="AE506" s="48">
        <f t="shared" si="30"/>
        <v>21730</v>
      </c>
      <c r="AF506" s="48"/>
      <c r="AG506" s="59"/>
      <c r="AH506" s="59"/>
      <c r="AI506" s="59"/>
      <c r="AJ506" s="59"/>
      <c r="AK506" s="59"/>
      <c r="AL506" s="8">
        <f>+'Gen Rev'!AI507-'Gen Exp'!AE506+'Gen Exp'!AI506-AK506</f>
        <v>11092</v>
      </c>
      <c r="AM506" s="21" t="str">
        <f>'Gen Rev'!A507</f>
        <v>Rarden</v>
      </c>
      <c r="AN506" s="67" t="str">
        <f t="shared" si="28"/>
        <v>Rarden</v>
      </c>
      <c r="AO506" s="67" t="b">
        <f t="shared" si="29"/>
        <v>1</v>
      </c>
    </row>
    <row r="507" spans="1:41" x14ac:dyDescent="0.2">
      <c r="A507" s="1" t="s">
        <v>362</v>
      </c>
      <c r="C507" s="1" t="s">
        <v>360</v>
      </c>
      <c r="E507" s="48">
        <v>5624.14</v>
      </c>
      <c r="F507" s="48"/>
      <c r="G507" s="48">
        <v>1724.8</v>
      </c>
      <c r="H507" s="48"/>
      <c r="I507" s="48">
        <v>17623.400000000001</v>
      </c>
      <c r="J507" s="48"/>
      <c r="K507" s="48">
        <v>0</v>
      </c>
      <c r="L507" s="48"/>
      <c r="M507" s="48">
        <v>0</v>
      </c>
      <c r="N507" s="48"/>
      <c r="O507" s="48">
        <v>0</v>
      </c>
      <c r="P507" s="48"/>
      <c r="Q507" s="48">
        <v>22664.13</v>
      </c>
      <c r="R507" s="48"/>
      <c r="S507" s="48">
        <v>0</v>
      </c>
      <c r="T507" s="48"/>
      <c r="U507" s="48">
        <v>0</v>
      </c>
      <c r="V507" s="48"/>
      <c r="W507" s="48">
        <v>0</v>
      </c>
      <c r="X507" s="48"/>
      <c r="Y507" s="48">
        <v>0</v>
      </c>
      <c r="Z507" s="48"/>
      <c r="AA507" s="48">
        <v>0</v>
      </c>
      <c r="AB507" s="48"/>
      <c r="AC507" s="48">
        <v>0</v>
      </c>
      <c r="AD507" s="48"/>
      <c r="AE507" s="48">
        <f t="shared" si="30"/>
        <v>47636.47</v>
      </c>
      <c r="AG507" s="55">
        <v>-3733.21</v>
      </c>
      <c r="AI507" s="55">
        <v>88815.72</v>
      </c>
      <c r="AK507" s="55">
        <v>85082.51</v>
      </c>
      <c r="AL507" s="8">
        <f>+'Gen Rev'!AI508-'Gen Exp'!AE507+'Gen Exp'!AI507-AK507</f>
        <v>0</v>
      </c>
      <c r="AM507" s="21" t="str">
        <f>'Gen Rev'!A508</f>
        <v>Rawson</v>
      </c>
      <c r="AN507" s="67" t="str">
        <f t="shared" si="28"/>
        <v>Rawson</v>
      </c>
      <c r="AO507" s="67" t="b">
        <f t="shared" si="29"/>
        <v>1</v>
      </c>
    </row>
    <row r="508" spans="1:41" x14ac:dyDescent="0.2">
      <c r="A508" s="1" t="s">
        <v>819</v>
      </c>
      <c r="C508" s="1" t="s">
        <v>688</v>
      </c>
      <c r="E508" s="48">
        <v>15526</v>
      </c>
      <c r="F508" s="48"/>
      <c r="G508" s="48">
        <v>739</v>
      </c>
      <c r="H508" s="48"/>
      <c r="I508" s="48">
        <v>9750</v>
      </c>
      <c r="J508" s="48"/>
      <c r="K508" s="48">
        <v>0</v>
      </c>
      <c r="L508" s="48"/>
      <c r="M508" s="48">
        <v>0</v>
      </c>
      <c r="N508" s="48"/>
      <c r="O508" s="48">
        <v>0</v>
      </c>
      <c r="P508" s="48"/>
      <c r="Q508" s="48">
        <v>35067</v>
      </c>
      <c r="R508" s="48"/>
      <c r="S508" s="48">
        <v>0</v>
      </c>
      <c r="T508" s="48"/>
      <c r="U508" s="48">
        <v>0</v>
      </c>
      <c r="V508" s="48"/>
      <c r="W508" s="48">
        <v>0</v>
      </c>
      <c r="X508" s="48"/>
      <c r="Y508" s="48">
        <v>0</v>
      </c>
      <c r="Z508" s="48"/>
      <c r="AA508" s="48">
        <v>0</v>
      </c>
      <c r="AB508" s="48"/>
      <c r="AC508" s="48">
        <v>0</v>
      </c>
      <c r="AD508" s="48"/>
      <c r="AE508" s="48">
        <f t="shared" si="30"/>
        <v>61082</v>
      </c>
      <c r="AF508" s="48"/>
      <c r="AG508" s="59"/>
      <c r="AH508" s="59"/>
      <c r="AI508" s="59"/>
      <c r="AJ508" s="59"/>
      <c r="AK508" s="59"/>
      <c r="AL508" s="8">
        <f>+'Gen Rev'!AI509-'Gen Exp'!AE508+'Gen Exp'!AI508-AK508</f>
        <v>33606</v>
      </c>
      <c r="AM508" s="21" t="str">
        <f>'Gen Rev'!A509</f>
        <v>Rayland</v>
      </c>
      <c r="AN508" s="67" t="str">
        <f t="shared" si="28"/>
        <v>Rayland</v>
      </c>
      <c r="AO508" s="67" t="b">
        <f t="shared" si="29"/>
        <v>1</v>
      </c>
    </row>
    <row r="509" spans="1:41" x14ac:dyDescent="0.2">
      <c r="A509" s="1" t="s">
        <v>213</v>
      </c>
      <c r="C509" s="1" t="s">
        <v>511</v>
      </c>
      <c r="E509" s="48">
        <v>1159760.28</v>
      </c>
      <c r="F509" s="48"/>
      <c r="G509" s="48">
        <v>0</v>
      </c>
      <c r="H509" s="48"/>
      <c r="I509" s="48">
        <v>13555.17</v>
      </c>
      <c r="J509" s="48"/>
      <c r="K509" s="48">
        <v>203648.43</v>
      </c>
      <c r="L509" s="48"/>
      <c r="M509" s="48">
        <v>0</v>
      </c>
      <c r="N509" s="48"/>
      <c r="O509" s="48">
        <v>133903.63</v>
      </c>
      <c r="P509" s="48"/>
      <c r="Q509" s="48">
        <v>462783.49</v>
      </c>
      <c r="R509" s="48"/>
      <c r="S509" s="48">
        <v>0</v>
      </c>
      <c r="T509" s="48"/>
      <c r="U509" s="48">
        <v>0</v>
      </c>
      <c r="V509" s="48"/>
      <c r="W509" s="48">
        <v>0</v>
      </c>
      <c r="X509" s="48"/>
      <c r="Y509" s="48">
        <v>792876.73</v>
      </c>
      <c r="Z509" s="48"/>
      <c r="AA509" s="48">
        <v>25000</v>
      </c>
      <c r="AB509" s="48"/>
      <c r="AC509" s="48">
        <v>0</v>
      </c>
      <c r="AD509" s="48"/>
      <c r="AE509" s="48">
        <f t="shared" si="30"/>
        <v>2791527.7299999995</v>
      </c>
      <c r="AG509" s="55">
        <v>-248523.09</v>
      </c>
      <c r="AI509" s="55">
        <v>737761.96</v>
      </c>
      <c r="AK509" s="55">
        <v>489238.87</v>
      </c>
      <c r="AL509" s="8">
        <f>+'Gen Rev'!AI510-'Gen Exp'!AE509+'Gen Exp'!AI509-AK509</f>
        <v>5.8207660913467407E-10</v>
      </c>
      <c r="AM509" s="21" t="str">
        <f>'Gen Rev'!A510</f>
        <v>Reminderville</v>
      </c>
      <c r="AN509" s="67" t="str">
        <f t="shared" si="28"/>
        <v>Reminderville</v>
      </c>
      <c r="AO509" s="67" t="b">
        <f t="shared" si="29"/>
        <v>1</v>
      </c>
    </row>
    <row r="510" spans="1:41" x14ac:dyDescent="0.2">
      <c r="A510" s="1" t="s">
        <v>840</v>
      </c>
      <c r="C510" s="1" t="s">
        <v>464</v>
      </c>
      <c r="E510" s="48">
        <v>1094.48</v>
      </c>
      <c r="F510" s="48"/>
      <c r="G510" s="48">
        <v>0</v>
      </c>
      <c r="H510" s="48"/>
      <c r="I510" s="48">
        <v>0</v>
      </c>
      <c r="J510" s="48"/>
      <c r="K510" s="48">
        <v>0</v>
      </c>
      <c r="L510" s="48"/>
      <c r="M510" s="48">
        <v>0</v>
      </c>
      <c r="N510" s="48"/>
      <c r="O510" s="48">
        <v>0</v>
      </c>
      <c r="P510" s="48"/>
      <c r="Q510" s="48">
        <v>7168.42</v>
      </c>
      <c r="R510" s="48"/>
      <c r="S510" s="48">
        <v>0</v>
      </c>
      <c r="T510" s="48"/>
      <c r="U510" s="48">
        <v>0</v>
      </c>
      <c r="V510" s="48"/>
      <c r="W510" s="48">
        <v>0</v>
      </c>
      <c r="X510" s="48"/>
      <c r="Y510" s="48">
        <v>0</v>
      </c>
      <c r="Z510" s="48"/>
      <c r="AA510" s="48">
        <v>0</v>
      </c>
      <c r="AB510" s="48"/>
      <c r="AC510" s="48">
        <v>0</v>
      </c>
      <c r="AD510" s="48"/>
      <c r="AE510" s="48">
        <f t="shared" si="30"/>
        <v>8262.9</v>
      </c>
      <c r="AG510" s="55">
        <v>-2774.62</v>
      </c>
      <c r="AI510" s="55">
        <v>-75.22</v>
      </c>
      <c r="AK510" s="55">
        <v>-2849.84</v>
      </c>
      <c r="AL510" s="8">
        <f>+'Gen Rev'!AI511-'Gen Exp'!AE510+'Gen Exp'!AI510-AK510</f>
        <v>0</v>
      </c>
      <c r="AM510" s="21" t="str">
        <f>'Gen Rev'!A511</f>
        <v>Rendville</v>
      </c>
      <c r="AN510" s="67" t="str">
        <f t="shared" si="28"/>
        <v>Rendville</v>
      </c>
      <c r="AO510" s="67" t="b">
        <f t="shared" si="29"/>
        <v>1</v>
      </c>
    </row>
    <row r="511" spans="1:41" x14ac:dyDescent="0.2">
      <c r="A511" s="1" t="s">
        <v>496</v>
      </c>
      <c r="C511" s="1" t="s">
        <v>494</v>
      </c>
      <c r="E511" s="48">
        <v>35467.019999999997</v>
      </c>
      <c r="F511" s="48"/>
      <c r="G511" s="48">
        <v>0</v>
      </c>
      <c r="H511" s="48"/>
      <c r="I511" s="48">
        <v>0</v>
      </c>
      <c r="J511" s="48"/>
      <c r="K511" s="48">
        <v>9187.6200000000008</v>
      </c>
      <c r="L511" s="48"/>
      <c r="M511" s="48">
        <v>0</v>
      </c>
      <c r="N511" s="48"/>
      <c r="O511" s="48">
        <v>0</v>
      </c>
      <c r="P511" s="48"/>
      <c r="Q511" s="48">
        <v>28232.880000000001</v>
      </c>
      <c r="R511" s="48"/>
      <c r="S511" s="48">
        <v>0</v>
      </c>
      <c r="T511" s="48"/>
      <c r="U511" s="48">
        <v>0</v>
      </c>
      <c r="V511" s="48"/>
      <c r="W511" s="48">
        <v>0</v>
      </c>
      <c r="X511" s="48"/>
      <c r="Y511" s="48">
        <v>1604.64</v>
      </c>
      <c r="Z511" s="48"/>
      <c r="AA511" s="48">
        <v>0</v>
      </c>
      <c r="AB511" s="48"/>
      <c r="AC511" s="48">
        <v>0</v>
      </c>
      <c r="AD511" s="48"/>
      <c r="AE511" s="48">
        <f t="shared" si="30"/>
        <v>74492.160000000003</v>
      </c>
      <c r="AG511" s="55">
        <v>10513.78</v>
      </c>
      <c r="AI511" s="55">
        <v>53935.07</v>
      </c>
      <c r="AK511" s="55">
        <v>64448.85</v>
      </c>
      <c r="AL511" s="8">
        <f>+'Gen Rev'!AI512-'Gen Exp'!AE511+'Gen Exp'!AI511-AK511</f>
        <v>0</v>
      </c>
      <c r="AM511" s="21" t="str">
        <f>'Gen Rev'!A512</f>
        <v>Republic</v>
      </c>
      <c r="AN511" s="67" t="str">
        <f t="shared" si="28"/>
        <v>Republic</v>
      </c>
      <c r="AO511" s="67" t="b">
        <f t="shared" si="29"/>
        <v>1</v>
      </c>
    </row>
    <row r="512" spans="1:41" x14ac:dyDescent="0.2">
      <c r="A512" s="1" t="s">
        <v>514</v>
      </c>
      <c r="C512" s="1" t="s">
        <v>511</v>
      </c>
      <c r="E512" s="48">
        <v>4027952</v>
      </c>
      <c r="F512" s="48"/>
      <c r="G512" s="48">
        <v>70472</v>
      </c>
      <c r="H512" s="48"/>
      <c r="I512" s="48">
        <v>79764</v>
      </c>
      <c r="J512" s="48"/>
      <c r="K512" s="48">
        <v>199915</v>
      </c>
      <c r="L512" s="48"/>
      <c r="M512" s="48">
        <v>190350</v>
      </c>
      <c r="N512" s="48"/>
      <c r="O512" s="48">
        <v>0</v>
      </c>
      <c r="P512" s="48"/>
      <c r="Q512" s="48">
        <v>751686</v>
      </c>
      <c r="R512" s="48"/>
      <c r="S512" s="48">
        <v>0</v>
      </c>
      <c r="T512" s="48"/>
      <c r="U512" s="48">
        <v>0</v>
      </c>
      <c r="V512" s="48"/>
      <c r="W512" s="48">
        <v>0</v>
      </c>
      <c r="X512" s="48"/>
      <c r="Y512" s="48">
        <v>0</v>
      </c>
      <c r="Z512" s="48"/>
      <c r="AA512" s="48">
        <v>0</v>
      </c>
      <c r="AB512" s="48"/>
      <c r="AC512" s="48">
        <v>0</v>
      </c>
      <c r="AD512" s="48"/>
      <c r="AE512" s="48">
        <f t="shared" si="30"/>
        <v>5320139</v>
      </c>
      <c r="AF512" s="48"/>
      <c r="AG512" s="59"/>
      <c r="AH512" s="59"/>
      <c r="AI512" s="59"/>
      <c r="AJ512" s="59"/>
      <c r="AK512" s="59"/>
      <c r="AL512" s="8">
        <f>+'Gen Rev'!AI513-'Gen Exp'!AE512+'Gen Exp'!AI512-AK512</f>
        <v>335503</v>
      </c>
      <c r="AM512" s="21" t="str">
        <f>'Gen Rev'!A513</f>
        <v>Richfield</v>
      </c>
      <c r="AN512" s="67" t="str">
        <f t="shared" si="28"/>
        <v>Richfield</v>
      </c>
      <c r="AO512" s="67" t="b">
        <f t="shared" si="29"/>
        <v>1</v>
      </c>
    </row>
    <row r="513" spans="1:41" x14ac:dyDescent="0.2">
      <c r="A513" s="1" t="s">
        <v>113</v>
      </c>
      <c r="C513" s="1" t="s">
        <v>390</v>
      </c>
      <c r="E513" s="48">
        <v>3897.33</v>
      </c>
      <c r="F513" s="48"/>
      <c r="G513" s="48">
        <v>0</v>
      </c>
      <c r="H513" s="48"/>
      <c r="I513" s="48">
        <v>10043.41</v>
      </c>
      <c r="J513" s="48"/>
      <c r="K513" s="48">
        <v>0</v>
      </c>
      <c r="L513" s="48"/>
      <c r="M513" s="48">
        <v>0</v>
      </c>
      <c r="N513" s="48"/>
      <c r="O513" s="48">
        <v>0</v>
      </c>
      <c r="P513" s="48"/>
      <c r="Q513" s="48">
        <v>99480.25</v>
      </c>
      <c r="R513" s="48"/>
      <c r="S513" s="48">
        <v>0</v>
      </c>
      <c r="T513" s="48"/>
      <c r="U513" s="48">
        <v>0</v>
      </c>
      <c r="V513" s="48"/>
      <c r="W513" s="48">
        <v>0</v>
      </c>
      <c r="X513" s="48"/>
      <c r="Y513" s="48">
        <v>13091.3</v>
      </c>
      <c r="Z513" s="48"/>
      <c r="AA513" s="48">
        <v>0</v>
      </c>
      <c r="AB513" s="48"/>
      <c r="AC513" s="48">
        <v>1737.54</v>
      </c>
      <c r="AD513" s="48"/>
      <c r="AE513" s="48">
        <f t="shared" si="30"/>
        <v>128249.83</v>
      </c>
      <c r="AG513" s="55">
        <v>-3581.63</v>
      </c>
      <c r="AI513" s="55">
        <v>56037.25</v>
      </c>
      <c r="AK513" s="55">
        <v>52455.62</v>
      </c>
      <c r="AL513" s="8">
        <f>+'Gen Rev'!AI514-'Gen Exp'!AE513+'Gen Exp'!AI513-AK513</f>
        <v>0</v>
      </c>
      <c r="AM513" s="21" t="str">
        <f>'Gen Rev'!A514</f>
        <v>Richmond</v>
      </c>
      <c r="AN513" s="67" t="str">
        <f t="shared" si="28"/>
        <v>Richmond</v>
      </c>
      <c r="AO513" s="67" t="b">
        <f t="shared" si="29"/>
        <v>1</v>
      </c>
    </row>
    <row r="514" spans="1:41" x14ac:dyDescent="0.2">
      <c r="A514" s="1" t="s">
        <v>371</v>
      </c>
      <c r="C514" s="1" t="s">
        <v>366</v>
      </c>
      <c r="E514" s="48">
        <v>13395.95</v>
      </c>
      <c r="F514" s="48"/>
      <c r="G514" s="48">
        <v>4950.47</v>
      </c>
      <c r="H514" s="48"/>
      <c r="I514" s="48">
        <v>0</v>
      </c>
      <c r="J514" s="48"/>
      <c r="K514" s="48">
        <v>0</v>
      </c>
      <c r="L514" s="48"/>
      <c r="M514" s="48">
        <v>1241.73</v>
      </c>
      <c r="N514" s="48"/>
      <c r="O514" s="48">
        <v>0</v>
      </c>
      <c r="P514" s="48"/>
      <c r="Q514" s="48">
        <v>23416.18</v>
      </c>
      <c r="R514" s="48"/>
      <c r="S514" s="48">
        <v>0</v>
      </c>
      <c r="T514" s="48"/>
      <c r="U514" s="48">
        <v>0</v>
      </c>
      <c r="V514" s="48"/>
      <c r="W514" s="48">
        <v>7738.46</v>
      </c>
      <c r="X514" s="48"/>
      <c r="Y514" s="48">
        <v>0</v>
      </c>
      <c r="Z514" s="48"/>
      <c r="AA514" s="48">
        <v>1000</v>
      </c>
      <c r="AB514" s="48"/>
      <c r="AC514" s="48">
        <v>0</v>
      </c>
      <c r="AD514" s="48"/>
      <c r="AE514" s="48">
        <f t="shared" si="30"/>
        <v>51742.79</v>
      </c>
      <c r="AG514" s="55">
        <v>-15376.49</v>
      </c>
      <c r="AI514" s="55">
        <v>28774.65</v>
      </c>
      <c r="AK514" s="55">
        <v>13398.16</v>
      </c>
      <c r="AL514" s="8">
        <f>+'Gen Rev'!AI515-'Gen Exp'!AE514+'Gen Exp'!AI514-AK514</f>
        <v>0</v>
      </c>
      <c r="AM514" s="21" t="str">
        <f>'Gen Rev'!A515</f>
        <v>Ridgeway</v>
      </c>
      <c r="AN514" s="67" t="str">
        <f t="shared" si="28"/>
        <v>Ridgeway</v>
      </c>
      <c r="AO514" s="67" t="b">
        <f t="shared" si="29"/>
        <v>1</v>
      </c>
    </row>
    <row r="515" spans="1:41" x14ac:dyDescent="0.2">
      <c r="A515" s="1" t="s">
        <v>76</v>
      </c>
      <c r="C515" s="1" t="s">
        <v>338</v>
      </c>
      <c r="E515" s="48">
        <v>205370.66</v>
      </c>
      <c r="F515" s="48"/>
      <c r="G515" s="48">
        <v>0</v>
      </c>
      <c r="H515" s="48"/>
      <c r="I515" s="48">
        <v>1465.56</v>
      </c>
      <c r="J515" s="48"/>
      <c r="K515" s="48">
        <v>464.36</v>
      </c>
      <c r="L515" s="48"/>
      <c r="M515" s="48">
        <v>0</v>
      </c>
      <c r="N515" s="48"/>
      <c r="O515" s="48">
        <v>0</v>
      </c>
      <c r="P515" s="48"/>
      <c r="Q515" s="48">
        <v>118818.62</v>
      </c>
      <c r="R515" s="48"/>
      <c r="S515" s="48">
        <v>1642.69</v>
      </c>
      <c r="T515" s="48"/>
      <c r="U515" s="48">
        <v>1253.3399999999999</v>
      </c>
      <c r="V515" s="48"/>
      <c r="W515" s="48">
        <v>0</v>
      </c>
      <c r="X515" s="48"/>
      <c r="Y515" s="48">
        <v>0</v>
      </c>
      <c r="Z515" s="48"/>
      <c r="AA515" s="48">
        <v>0</v>
      </c>
      <c r="AB515" s="48"/>
      <c r="AC515" s="48">
        <v>0</v>
      </c>
      <c r="AD515" s="48"/>
      <c r="AE515" s="48">
        <f t="shared" si="30"/>
        <v>329015.23</v>
      </c>
      <c r="AG515" s="55">
        <v>-11028.8</v>
      </c>
      <c r="AI515" s="55">
        <v>11275.83</v>
      </c>
      <c r="AK515" s="55">
        <v>247.03</v>
      </c>
      <c r="AL515" s="8">
        <f>+'Gen Rev'!AI516-'Gen Exp'!AE515+'Gen Exp'!AI515-AK515</f>
        <v>1.1567635738174431E-11</v>
      </c>
      <c r="AM515" s="21" t="str">
        <f>'Gen Rev'!A516</f>
        <v>Rio Grande</v>
      </c>
      <c r="AN515" s="67" t="str">
        <f t="shared" si="28"/>
        <v>Rio Grande</v>
      </c>
      <c r="AO515" s="67" t="b">
        <f t="shared" si="29"/>
        <v>1</v>
      </c>
    </row>
    <row r="516" spans="1:41" x14ac:dyDescent="0.2">
      <c r="A516" s="1" t="s">
        <v>266</v>
      </c>
      <c r="C516" s="1" t="s">
        <v>265</v>
      </c>
      <c r="E516" s="48">
        <v>267035.13</v>
      </c>
      <c r="F516" s="48"/>
      <c r="G516" s="48">
        <v>3486.48</v>
      </c>
      <c r="H516" s="48"/>
      <c r="I516" s="48">
        <v>0</v>
      </c>
      <c r="J516" s="48"/>
      <c r="K516" s="48">
        <v>0</v>
      </c>
      <c r="L516" s="48"/>
      <c r="M516" s="48">
        <v>0</v>
      </c>
      <c r="N516" s="48"/>
      <c r="O516" s="48">
        <v>18800.5</v>
      </c>
      <c r="P516" s="48"/>
      <c r="Q516" s="48">
        <v>89668.97</v>
      </c>
      <c r="R516" s="48"/>
      <c r="S516" s="48">
        <v>24408.22</v>
      </c>
      <c r="T516" s="48"/>
      <c r="U516" s="48">
        <v>0</v>
      </c>
      <c r="V516" s="48"/>
      <c r="W516" s="48">
        <v>0</v>
      </c>
      <c r="X516" s="48"/>
      <c r="Y516" s="48">
        <v>0</v>
      </c>
      <c r="Z516" s="48"/>
      <c r="AA516" s="48">
        <v>0</v>
      </c>
      <c r="AB516" s="48"/>
      <c r="AC516" s="48">
        <v>0</v>
      </c>
      <c r="AD516" s="48"/>
      <c r="AE516" s="48">
        <f t="shared" si="30"/>
        <v>403399.29999999993</v>
      </c>
      <c r="AG516" s="55">
        <v>45945.29</v>
      </c>
      <c r="AI516" s="55">
        <v>193219.11</v>
      </c>
      <c r="AK516" s="55">
        <v>239164.4</v>
      </c>
      <c r="AL516" s="8">
        <f>+'Gen Rev'!AI517-'Gen Exp'!AE516+'Gen Exp'!AI516-AK516</f>
        <v>0</v>
      </c>
      <c r="AM516" s="21" t="str">
        <f>'Gen Rev'!A517</f>
        <v>Ripley</v>
      </c>
      <c r="AN516" s="67" t="str">
        <f t="shared" si="28"/>
        <v>Ripley</v>
      </c>
      <c r="AO516" s="67" t="b">
        <f t="shared" si="29"/>
        <v>1</v>
      </c>
    </row>
    <row r="517" spans="1:41" x14ac:dyDescent="0.2">
      <c r="A517" s="1" t="s">
        <v>242</v>
      </c>
      <c r="C517" s="1" t="s">
        <v>558</v>
      </c>
      <c r="E517" s="48">
        <v>35332.99</v>
      </c>
      <c r="F517" s="48"/>
      <c r="G517" s="48">
        <v>103</v>
      </c>
      <c r="H517" s="48"/>
      <c r="I517" s="48">
        <v>50</v>
      </c>
      <c r="J517" s="48"/>
      <c r="K517" s="48">
        <v>0</v>
      </c>
      <c r="L517" s="48"/>
      <c r="M517" s="48">
        <v>1604.36</v>
      </c>
      <c r="N517" s="48"/>
      <c r="O517" s="48">
        <v>130.82</v>
      </c>
      <c r="P517" s="48"/>
      <c r="Q517" s="48">
        <v>40948.28</v>
      </c>
      <c r="R517" s="48"/>
      <c r="S517" s="48">
        <v>3809</v>
      </c>
      <c r="T517" s="48"/>
      <c r="U517" s="48">
        <v>1111.31</v>
      </c>
      <c r="V517" s="48"/>
      <c r="W517" s="48">
        <v>761.01</v>
      </c>
      <c r="X517" s="48"/>
      <c r="Y517" s="48">
        <v>19510</v>
      </c>
      <c r="Z517" s="48"/>
      <c r="AA517" s="48">
        <v>5000</v>
      </c>
      <c r="AB517" s="48"/>
      <c r="AC517" s="48">
        <v>3303.41</v>
      </c>
      <c r="AD517" s="48"/>
      <c r="AE517" s="48">
        <f t="shared" si="30"/>
        <v>111664.18</v>
      </c>
      <c r="AG517" s="55">
        <v>2834.31</v>
      </c>
      <c r="AI517" s="55">
        <v>3002.05</v>
      </c>
      <c r="AK517" s="55">
        <v>5836.36</v>
      </c>
      <c r="AL517" s="8">
        <f>+'Gen Rev'!AI518-'Gen Exp'!AE517+'Gen Exp'!AI517-AK517</f>
        <v>1.2732925824820995E-11</v>
      </c>
      <c r="AM517" s="21" t="str">
        <f>'Gen Rev'!A518</f>
        <v>Risingsun</v>
      </c>
      <c r="AN517" s="67" t="str">
        <f t="shared" si="28"/>
        <v>Risingsun</v>
      </c>
      <c r="AO517" s="67" t="b">
        <f t="shared" si="29"/>
        <v>1</v>
      </c>
    </row>
    <row r="518" spans="1:41" x14ac:dyDescent="0.2">
      <c r="A518" s="1" t="s">
        <v>330</v>
      </c>
      <c r="C518" s="1" t="s">
        <v>329</v>
      </c>
      <c r="E518" s="48">
        <v>66921</v>
      </c>
      <c r="F518" s="48"/>
      <c r="G518" s="48">
        <v>5443</v>
      </c>
      <c r="H518" s="48"/>
      <c r="I518" s="48">
        <v>5258</v>
      </c>
      <c r="J518" s="48"/>
      <c r="K518" s="48">
        <v>4165</v>
      </c>
      <c r="L518" s="48"/>
      <c r="M518" s="48">
        <v>78450</v>
      </c>
      <c r="N518" s="48"/>
      <c r="O518" s="48">
        <v>6917</v>
      </c>
      <c r="P518" s="48"/>
      <c r="Q518" s="48">
        <v>51819</v>
      </c>
      <c r="R518" s="48"/>
      <c r="S518" s="48">
        <v>0</v>
      </c>
      <c r="T518" s="48"/>
      <c r="U518" s="48">
        <v>0</v>
      </c>
      <c r="V518" s="48"/>
      <c r="W518" s="48">
        <v>0</v>
      </c>
      <c r="X518" s="48"/>
      <c r="Y518" s="48">
        <v>0</v>
      </c>
      <c r="Z518" s="48"/>
      <c r="AA518" s="48">
        <v>79000</v>
      </c>
      <c r="AB518" s="48"/>
      <c r="AC518" s="48">
        <v>0</v>
      </c>
      <c r="AD518" s="48"/>
      <c r="AE518" s="48">
        <f t="shared" si="30"/>
        <v>297973</v>
      </c>
      <c r="AF518" s="48"/>
      <c r="AG518" s="59"/>
      <c r="AH518" s="59"/>
      <c r="AI518" s="59"/>
      <c r="AJ518" s="59"/>
      <c r="AK518" s="59"/>
      <c r="AL518" s="8">
        <f>+'Gen Rev'!AI519-'Gen Exp'!AE518+'Gen Exp'!AI518-AK518</f>
        <v>-17438</v>
      </c>
      <c r="AM518" s="21" t="str">
        <f>'Gen Rev'!A519</f>
        <v>Riverlea</v>
      </c>
      <c r="AN518" s="67" t="str">
        <f t="shared" si="28"/>
        <v>Riverlea</v>
      </c>
      <c r="AO518" s="67" t="b">
        <f t="shared" si="29"/>
        <v>1</v>
      </c>
    </row>
    <row r="519" spans="1:41" ht="12.75" x14ac:dyDescent="0.2">
      <c r="A519" s="1" t="s">
        <v>623</v>
      </c>
      <c r="C519" s="1" t="s">
        <v>624</v>
      </c>
      <c r="D519" s="7"/>
      <c r="E519" s="48">
        <v>39606</v>
      </c>
      <c r="F519" s="48"/>
      <c r="G519" s="48">
        <v>30679</v>
      </c>
      <c r="H519" s="48"/>
      <c r="I519" s="48">
        <v>0</v>
      </c>
      <c r="J519" s="48"/>
      <c r="K519" s="48">
        <v>1633</v>
      </c>
      <c r="L519" s="48"/>
      <c r="M519" s="48">
        <v>0</v>
      </c>
      <c r="N519" s="48"/>
      <c r="O519" s="48">
        <v>0</v>
      </c>
      <c r="P519" s="48"/>
      <c r="Q519" s="48">
        <v>63472</v>
      </c>
      <c r="R519" s="48"/>
      <c r="S519" s="48">
        <v>0</v>
      </c>
      <c r="T519" s="48"/>
      <c r="U519" s="48">
        <v>16279</v>
      </c>
      <c r="V519" s="48"/>
      <c r="W519" s="48">
        <v>0</v>
      </c>
      <c r="X519" s="48"/>
      <c r="Y519" s="48">
        <v>31165</v>
      </c>
      <c r="Z519" s="48"/>
      <c r="AA519" s="48">
        <v>0</v>
      </c>
      <c r="AB519" s="48"/>
      <c r="AC519" s="48">
        <v>4306</v>
      </c>
      <c r="AD519" s="48"/>
      <c r="AE519" s="48">
        <f t="shared" si="30"/>
        <v>187140</v>
      </c>
      <c r="AF519" s="48"/>
      <c r="AG519" s="59"/>
      <c r="AH519" s="59"/>
      <c r="AI519" s="59"/>
      <c r="AJ519" s="59"/>
      <c r="AK519" s="59"/>
      <c r="AL519" s="8">
        <f>+'Gen Rev'!AI520-'Gen Exp'!AE519+'Gen Exp'!AI519-AK519</f>
        <v>21361</v>
      </c>
      <c r="AM519" s="21" t="str">
        <f>'Gen Rev'!A520</f>
        <v>Roaming Shores</v>
      </c>
      <c r="AN519" s="67" t="str">
        <f t="shared" si="28"/>
        <v>Roaming Shores</v>
      </c>
      <c r="AO519" s="67" t="b">
        <f t="shared" si="29"/>
        <v>1</v>
      </c>
    </row>
    <row r="520" spans="1:41" x14ac:dyDescent="0.2">
      <c r="A520" s="1" t="s">
        <v>129</v>
      </c>
      <c r="C520" s="1" t="s">
        <v>419</v>
      </c>
      <c r="E520" s="48">
        <v>0</v>
      </c>
      <c r="F520" s="48"/>
      <c r="G520" s="48">
        <v>0</v>
      </c>
      <c r="H520" s="48"/>
      <c r="I520" s="48">
        <v>3088.46</v>
      </c>
      <c r="J520" s="48"/>
      <c r="K520" s="48">
        <v>1127.27</v>
      </c>
      <c r="L520" s="48"/>
      <c r="M520" s="48">
        <v>2839.5</v>
      </c>
      <c r="N520" s="48"/>
      <c r="O520" s="48">
        <v>0</v>
      </c>
      <c r="P520" s="48"/>
      <c r="Q520" s="48">
        <v>48528.42</v>
      </c>
      <c r="R520" s="48"/>
      <c r="S520" s="48">
        <v>0</v>
      </c>
      <c r="T520" s="48"/>
      <c r="U520" s="48">
        <v>0</v>
      </c>
      <c r="V520" s="48"/>
      <c r="W520" s="48">
        <v>0</v>
      </c>
      <c r="X520" s="48"/>
      <c r="Y520" s="48">
        <v>0</v>
      </c>
      <c r="Z520" s="48"/>
      <c r="AA520" s="48">
        <v>0</v>
      </c>
      <c r="AB520" s="48"/>
      <c r="AC520" s="48">
        <v>0</v>
      </c>
      <c r="AD520" s="48"/>
      <c r="AE520" s="48">
        <f t="shared" si="30"/>
        <v>55583.649999999994</v>
      </c>
      <c r="AG520" s="55">
        <v>-30232.92</v>
      </c>
      <c r="AI520" s="55">
        <v>160758.41</v>
      </c>
      <c r="AK520" s="55">
        <v>130525.49</v>
      </c>
      <c r="AL520" s="8">
        <f>+'Gen Rev'!AI521-'Gen Exp'!AE520+'Gen Exp'!AI520-AK520</f>
        <v>0</v>
      </c>
      <c r="AM520" s="21" t="str">
        <f>'Gen Rev'!A521</f>
        <v>Rochester</v>
      </c>
      <c r="AN520" s="67" t="str">
        <f t="shared" si="28"/>
        <v>Rochester</v>
      </c>
      <c r="AO520" s="67" t="b">
        <f t="shared" si="29"/>
        <v>1</v>
      </c>
    </row>
    <row r="521" spans="1:41" x14ac:dyDescent="0.2">
      <c r="A521" s="1" t="s">
        <v>625</v>
      </c>
      <c r="C521" s="1" t="s">
        <v>624</v>
      </c>
      <c r="E521" s="48">
        <v>18000</v>
      </c>
      <c r="F521" s="48"/>
      <c r="G521" s="48">
        <v>0</v>
      </c>
      <c r="H521" s="48"/>
      <c r="I521" s="48">
        <v>0</v>
      </c>
      <c r="J521" s="48"/>
      <c r="K521" s="48">
        <v>0</v>
      </c>
      <c r="L521" s="48"/>
      <c r="M521" s="48">
        <v>3035.99</v>
      </c>
      <c r="N521" s="48"/>
      <c r="O521" s="48">
        <v>0</v>
      </c>
      <c r="P521" s="48"/>
      <c r="Q521" s="48">
        <v>90184.14</v>
      </c>
      <c r="R521" s="48"/>
      <c r="S521" s="48">
        <v>17400</v>
      </c>
      <c r="T521" s="48"/>
      <c r="U521" s="48">
        <v>0</v>
      </c>
      <c r="V521" s="48"/>
      <c r="W521" s="48">
        <v>4169.43</v>
      </c>
      <c r="X521" s="48"/>
      <c r="Y521" s="48">
        <v>0</v>
      </c>
      <c r="Z521" s="48"/>
      <c r="AA521" s="48">
        <v>0</v>
      </c>
      <c r="AB521" s="48"/>
      <c r="AC521" s="48">
        <v>0</v>
      </c>
      <c r="AD521" s="48"/>
      <c r="AE521" s="48">
        <f t="shared" si="30"/>
        <v>132789.56</v>
      </c>
      <c r="AG521" s="55">
        <v>345.61</v>
      </c>
      <c r="AI521" s="55">
        <v>81855.98</v>
      </c>
      <c r="AK521" s="55">
        <v>82201.59</v>
      </c>
      <c r="AL521" s="8">
        <f>+'Gen Rev'!AI522-'Gen Exp'!AE521+'Gen Exp'!AI521-AK521</f>
        <v>0</v>
      </c>
      <c r="AM521" s="21" t="str">
        <f>'Gen Rev'!A522</f>
        <v>Rock Creek</v>
      </c>
      <c r="AN521" s="67" t="str">
        <f t="shared" si="28"/>
        <v>Rock Creek</v>
      </c>
      <c r="AO521" s="67" t="b">
        <f t="shared" si="29"/>
        <v>1</v>
      </c>
    </row>
    <row r="522" spans="1:41" x14ac:dyDescent="0.2">
      <c r="A522" s="1" t="s">
        <v>435</v>
      </c>
      <c r="C522" s="1" t="s">
        <v>433</v>
      </c>
      <c r="E522" s="48">
        <v>180343.94</v>
      </c>
      <c r="F522" s="48"/>
      <c r="G522" s="48">
        <v>5073.74</v>
      </c>
      <c r="H522" s="48"/>
      <c r="I522" s="48">
        <v>5369.59</v>
      </c>
      <c r="J522" s="48"/>
      <c r="K522" s="48">
        <v>3006.67</v>
      </c>
      <c r="L522" s="48"/>
      <c r="M522" s="48">
        <v>5460.59</v>
      </c>
      <c r="N522" s="48"/>
      <c r="O522" s="48">
        <v>56101.120000000003</v>
      </c>
      <c r="P522" s="48"/>
      <c r="Q522" s="48">
        <v>113974.49</v>
      </c>
      <c r="R522" s="48"/>
      <c r="S522" s="48">
        <v>0</v>
      </c>
      <c r="T522" s="48"/>
      <c r="U522" s="48">
        <v>0</v>
      </c>
      <c r="V522" s="48"/>
      <c r="W522" s="48">
        <v>0</v>
      </c>
      <c r="X522" s="48"/>
      <c r="Y522" s="48">
        <v>7800</v>
      </c>
      <c r="Z522" s="48"/>
      <c r="AA522" s="48">
        <v>0</v>
      </c>
      <c r="AB522" s="48"/>
      <c r="AC522" s="48">
        <v>0</v>
      </c>
      <c r="AD522" s="48"/>
      <c r="AE522" s="48">
        <f t="shared" si="30"/>
        <v>377130.14</v>
      </c>
      <c r="AG522" s="55">
        <v>-488.1</v>
      </c>
      <c r="AI522" s="55">
        <v>105846.24</v>
      </c>
      <c r="AK522" s="55">
        <v>105358.14</v>
      </c>
      <c r="AL522" s="8">
        <f>+'Gen Rev'!AI523-'Gen Exp'!AE522+'Gen Exp'!AI522-AK522</f>
        <v>0</v>
      </c>
      <c r="AM522" s="21" t="str">
        <f>'Gen Rev'!A523</f>
        <v>Rockford</v>
      </c>
      <c r="AN522" s="67" t="str">
        <f t="shared" si="28"/>
        <v>Rockford</v>
      </c>
      <c r="AO522" s="67" t="b">
        <f t="shared" si="29"/>
        <v>1</v>
      </c>
    </row>
    <row r="523" spans="1:41" x14ac:dyDescent="0.2">
      <c r="A523" s="1" t="s">
        <v>701</v>
      </c>
      <c r="C523" s="1" t="s">
        <v>192</v>
      </c>
      <c r="E523" s="48">
        <v>8016.23</v>
      </c>
      <c r="F523" s="48"/>
      <c r="G523" s="48">
        <v>776.93</v>
      </c>
      <c r="H523" s="48"/>
      <c r="I523" s="48">
        <v>304.82</v>
      </c>
      <c r="J523" s="48"/>
      <c r="K523" s="48">
        <v>300</v>
      </c>
      <c r="L523" s="48"/>
      <c r="M523" s="48">
        <v>1380</v>
      </c>
      <c r="N523" s="48"/>
      <c r="O523" s="48">
        <v>0</v>
      </c>
      <c r="P523" s="48"/>
      <c r="Q523" s="48">
        <v>28260.74</v>
      </c>
      <c r="R523" s="48"/>
      <c r="S523" s="48">
        <v>0</v>
      </c>
      <c r="T523" s="48"/>
      <c r="U523" s="48">
        <v>0</v>
      </c>
      <c r="V523" s="48"/>
      <c r="W523" s="48">
        <v>0</v>
      </c>
      <c r="X523" s="48"/>
      <c r="Y523" s="48">
        <v>0</v>
      </c>
      <c r="Z523" s="48"/>
      <c r="AA523" s="48">
        <v>4000</v>
      </c>
      <c r="AB523" s="48"/>
      <c r="AC523" s="48">
        <v>0</v>
      </c>
      <c r="AD523" s="48"/>
      <c r="AE523" s="48">
        <f t="shared" si="30"/>
        <v>43038.720000000001</v>
      </c>
      <c r="AG523" s="55">
        <v>9798.43</v>
      </c>
      <c r="AI523" s="55">
        <v>4176.55</v>
      </c>
      <c r="AK523" s="55">
        <v>13974.98</v>
      </c>
      <c r="AL523" s="8">
        <f>+'Gen Rev'!AI524-'Gen Exp'!AE523+'Gen Exp'!AI523-AK523</f>
        <v>0</v>
      </c>
      <c r="AM523" s="21" t="str">
        <f>'Gen Rev'!A524</f>
        <v>Rocky Ridge</v>
      </c>
      <c r="AN523" s="67" t="str">
        <f t="shared" si="28"/>
        <v>Rocky Ridge</v>
      </c>
      <c r="AO523" s="67" t="b">
        <f t="shared" si="29"/>
        <v>1</v>
      </c>
    </row>
    <row r="524" spans="1:41" x14ac:dyDescent="0.2">
      <c r="A524" s="1" t="s">
        <v>43</v>
      </c>
      <c r="C524" s="1" t="s">
        <v>283</v>
      </c>
      <c r="E524" s="48">
        <v>8683.24</v>
      </c>
      <c r="F524" s="48"/>
      <c r="G524" s="48">
        <v>0</v>
      </c>
      <c r="H524" s="48"/>
      <c r="I524" s="48">
        <v>0</v>
      </c>
      <c r="J524" s="48"/>
      <c r="K524" s="48">
        <v>0</v>
      </c>
      <c r="L524" s="48"/>
      <c r="M524" s="48">
        <v>0</v>
      </c>
      <c r="N524" s="48"/>
      <c r="O524" s="48">
        <v>0</v>
      </c>
      <c r="P524" s="48"/>
      <c r="Q524" s="48">
        <v>13072.49</v>
      </c>
      <c r="R524" s="48"/>
      <c r="S524" s="48">
        <v>7363.73</v>
      </c>
      <c r="T524" s="48"/>
      <c r="U524" s="48">
        <v>0</v>
      </c>
      <c r="V524" s="48"/>
      <c r="W524" s="48">
        <v>0</v>
      </c>
      <c r="X524" s="48"/>
      <c r="Y524" s="48">
        <v>0</v>
      </c>
      <c r="Z524" s="48"/>
      <c r="AA524" s="48">
        <v>0</v>
      </c>
      <c r="AB524" s="48"/>
      <c r="AC524" s="48">
        <v>0</v>
      </c>
      <c r="AD524" s="48"/>
      <c r="AE524" s="48">
        <f t="shared" si="30"/>
        <v>29119.46</v>
      </c>
      <c r="AG524" s="55">
        <v>2204.6799999999998</v>
      </c>
      <c r="AI524" s="55">
        <v>747.05</v>
      </c>
      <c r="AK524" s="55">
        <v>2951.73</v>
      </c>
      <c r="AL524" s="8">
        <f>+'Gen Rev'!AI525-'Gen Exp'!AE524+'Gen Exp'!AI524-AK524</f>
        <v>0</v>
      </c>
      <c r="AM524" s="21" t="str">
        <f>'Gen Rev'!A525</f>
        <v>Rogers</v>
      </c>
      <c r="AN524" s="67" t="str">
        <f t="shared" si="28"/>
        <v>Rogers</v>
      </c>
      <c r="AO524" s="67" t="b">
        <f t="shared" si="29"/>
        <v>1</v>
      </c>
    </row>
    <row r="525" spans="1:41" ht="12.75" x14ac:dyDescent="0.2">
      <c r="A525" s="1" t="s">
        <v>702</v>
      </c>
      <c r="C525" s="1" t="s">
        <v>616</v>
      </c>
      <c r="D525" s="7"/>
      <c r="E525" s="48">
        <v>3302</v>
      </c>
      <c r="F525" s="48"/>
      <c r="G525" s="48">
        <v>400</v>
      </c>
      <c r="H525" s="48"/>
      <c r="I525" s="48">
        <v>0</v>
      </c>
      <c r="J525" s="48"/>
      <c r="K525" s="48">
        <v>1260</v>
      </c>
      <c r="L525" s="48"/>
      <c r="M525" s="48">
        <v>0</v>
      </c>
      <c r="N525" s="48"/>
      <c r="O525" s="48">
        <v>0</v>
      </c>
      <c r="P525" s="48"/>
      <c r="Q525" s="48">
        <v>7014</v>
      </c>
      <c r="R525" s="48"/>
      <c r="S525" s="48">
        <v>0</v>
      </c>
      <c r="T525" s="48"/>
      <c r="U525" s="48">
        <v>0</v>
      </c>
      <c r="V525" s="48"/>
      <c r="W525" s="48">
        <v>0</v>
      </c>
      <c r="X525" s="48"/>
      <c r="Y525" s="48">
        <v>0</v>
      </c>
      <c r="Z525" s="48"/>
      <c r="AA525" s="48">
        <v>0</v>
      </c>
      <c r="AB525" s="48"/>
      <c r="AC525" s="48">
        <v>0</v>
      </c>
      <c r="AD525" s="48"/>
      <c r="AE525" s="48">
        <f t="shared" si="30"/>
        <v>11976</v>
      </c>
      <c r="AF525" s="48"/>
      <c r="AG525" s="59"/>
      <c r="AH525" s="59"/>
      <c r="AI525" s="59"/>
      <c r="AJ525" s="59"/>
      <c r="AK525" s="59"/>
      <c r="AL525" s="8">
        <f>+'Gen Rev'!AI526-'Gen Exp'!AE525+'Gen Exp'!AI525-AK525</f>
        <v>-7371</v>
      </c>
      <c r="AM525" s="21" t="str">
        <f>'Gen Rev'!A526</f>
        <v>Rome</v>
      </c>
      <c r="AN525" s="67" t="str">
        <f t="shared" si="28"/>
        <v>Rome</v>
      </c>
      <c r="AO525" s="67" t="b">
        <f t="shared" si="29"/>
        <v>1</v>
      </c>
    </row>
    <row r="526" spans="1:41" ht="12.75" x14ac:dyDescent="0.2">
      <c r="D526" s="7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59"/>
      <c r="AH526" s="59"/>
      <c r="AI526" s="59"/>
      <c r="AJ526" s="59"/>
      <c r="AK526" s="59"/>
      <c r="AL526" s="8"/>
      <c r="AM526" s="21"/>
      <c r="AN526" s="67"/>
      <c r="AO526" s="67"/>
    </row>
    <row r="527" spans="1:41" ht="12.75" x14ac:dyDescent="0.2">
      <c r="D527" s="7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88" t="s">
        <v>733</v>
      </c>
      <c r="AF527" s="48"/>
      <c r="AG527" s="59"/>
      <c r="AH527" s="59"/>
      <c r="AI527" s="59"/>
      <c r="AJ527" s="59"/>
      <c r="AK527" s="59"/>
      <c r="AL527" s="8"/>
      <c r="AM527" s="21"/>
      <c r="AN527" s="67"/>
      <c r="AO527" s="67"/>
    </row>
    <row r="528" spans="1:41" ht="12.75" x14ac:dyDescent="0.2">
      <c r="D528" s="7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59"/>
      <c r="AH528" s="59"/>
      <c r="AI528" s="59"/>
      <c r="AJ528" s="59"/>
      <c r="AK528" s="59"/>
      <c r="AL528" s="8"/>
      <c r="AM528" s="21"/>
      <c r="AN528" s="67"/>
      <c r="AO528" s="67"/>
    </row>
    <row r="529" spans="1:41" x14ac:dyDescent="0.2">
      <c r="A529" s="1" t="s">
        <v>453</v>
      </c>
      <c r="C529" s="1" t="s">
        <v>450</v>
      </c>
      <c r="E529" s="68">
        <v>147427.51</v>
      </c>
      <c r="F529" s="48"/>
      <c r="G529" s="68">
        <v>0</v>
      </c>
      <c r="H529" s="68"/>
      <c r="I529" s="68">
        <v>0</v>
      </c>
      <c r="J529" s="68"/>
      <c r="K529" s="68">
        <v>0</v>
      </c>
      <c r="L529" s="68"/>
      <c r="M529" s="68">
        <v>0</v>
      </c>
      <c r="N529" s="68"/>
      <c r="O529" s="68">
        <v>0</v>
      </c>
      <c r="P529" s="68"/>
      <c r="Q529" s="68">
        <v>45597.61</v>
      </c>
      <c r="R529" s="68"/>
      <c r="S529" s="68">
        <v>0</v>
      </c>
      <c r="T529" s="68"/>
      <c r="U529" s="68">
        <v>0</v>
      </c>
      <c r="V529" s="68"/>
      <c r="W529" s="68">
        <v>500</v>
      </c>
      <c r="X529" s="68"/>
      <c r="Y529" s="68">
        <v>0</v>
      </c>
      <c r="Z529" s="68"/>
      <c r="AA529" s="68">
        <v>0</v>
      </c>
      <c r="AB529" s="68"/>
      <c r="AC529" s="68">
        <v>0</v>
      </c>
      <c r="AD529" s="68"/>
      <c r="AE529" s="68">
        <f t="shared" si="30"/>
        <v>193525.12</v>
      </c>
      <c r="AG529" s="55">
        <v>32721.61</v>
      </c>
      <c r="AI529" s="55">
        <v>48606.92</v>
      </c>
      <c r="AK529" s="55">
        <v>81328.53</v>
      </c>
      <c r="AL529" s="8">
        <f>+'Gen Rev'!AI527-'Gen Exp'!AE529+'Gen Exp'!AI529-AK529</f>
        <v>0</v>
      </c>
      <c r="AM529" s="21" t="str">
        <f>'Gen Rev'!A527</f>
        <v>Roseville</v>
      </c>
      <c r="AN529" s="67" t="str">
        <f t="shared" si="28"/>
        <v>Roseville</v>
      </c>
      <c r="AO529" s="67" t="b">
        <f t="shared" si="29"/>
        <v>1</v>
      </c>
    </row>
    <row r="530" spans="1:41" x14ac:dyDescent="0.2">
      <c r="A530" s="1" t="s">
        <v>313</v>
      </c>
      <c r="C530" s="1" t="s">
        <v>306</v>
      </c>
      <c r="D530" s="67"/>
      <c r="E530" s="48">
        <v>5049</v>
      </c>
      <c r="F530" s="48"/>
      <c r="G530" s="48">
        <v>561</v>
      </c>
      <c r="H530" s="48"/>
      <c r="I530" s="48">
        <v>2330</v>
      </c>
      <c r="J530" s="48"/>
      <c r="K530" s="48">
        <v>0</v>
      </c>
      <c r="L530" s="48"/>
      <c r="M530" s="48">
        <v>8204</v>
      </c>
      <c r="N530" s="48"/>
      <c r="O530" s="48">
        <v>0</v>
      </c>
      <c r="P530" s="48"/>
      <c r="Q530" s="48">
        <v>16945</v>
      </c>
      <c r="R530" s="48"/>
      <c r="S530" s="48">
        <v>0</v>
      </c>
      <c r="T530" s="48"/>
      <c r="U530" s="48">
        <v>0</v>
      </c>
      <c r="V530" s="48"/>
      <c r="W530" s="48">
        <v>0</v>
      </c>
      <c r="X530" s="48"/>
      <c r="Y530" s="48">
        <v>0</v>
      </c>
      <c r="Z530" s="48"/>
      <c r="AA530" s="48">
        <v>0</v>
      </c>
      <c r="AB530" s="48"/>
      <c r="AC530" s="48">
        <v>0</v>
      </c>
      <c r="AD530" s="48"/>
      <c r="AE530" s="48">
        <f t="shared" si="30"/>
        <v>33089</v>
      </c>
      <c r="AF530" s="48"/>
      <c r="AG530" s="59"/>
      <c r="AH530" s="59"/>
      <c r="AI530" s="59"/>
      <c r="AJ530" s="59"/>
      <c r="AK530" s="59"/>
      <c r="AL530" s="8">
        <f>+'Gen Rev'!AI528-'Gen Exp'!AE530+'Gen Exp'!AI530-AK530</f>
        <v>-7172</v>
      </c>
      <c r="AM530" s="21" t="str">
        <f>'Gen Rev'!A528</f>
        <v>Rossburg</v>
      </c>
      <c r="AN530" s="67" t="str">
        <f t="shared" si="28"/>
        <v>Rossburg</v>
      </c>
      <c r="AO530" s="67" t="b">
        <f t="shared" si="29"/>
        <v>1</v>
      </c>
    </row>
    <row r="531" spans="1:41" x14ac:dyDescent="0.2">
      <c r="A531" s="1" t="s">
        <v>776</v>
      </c>
      <c r="C531" s="1" t="s">
        <v>521</v>
      </c>
      <c r="E531" s="48">
        <v>6728.49</v>
      </c>
      <c r="F531" s="48"/>
      <c r="G531" s="48">
        <v>672.89</v>
      </c>
      <c r="H531" s="48"/>
      <c r="I531" s="48">
        <v>850.65</v>
      </c>
      <c r="J531" s="48"/>
      <c r="K531" s="48">
        <v>35.04</v>
      </c>
      <c r="L531" s="48"/>
      <c r="M531" s="48">
        <v>6844.1</v>
      </c>
      <c r="N531" s="48"/>
      <c r="O531" s="48">
        <v>3265</v>
      </c>
      <c r="P531" s="48"/>
      <c r="Q531" s="48">
        <v>21258.14</v>
      </c>
      <c r="R531" s="48"/>
      <c r="S531" s="48">
        <v>0</v>
      </c>
      <c r="T531" s="48"/>
      <c r="U531" s="48">
        <v>0</v>
      </c>
      <c r="V531" s="48"/>
      <c r="W531" s="48">
        <v>0</v>
      </c>
      <c r="X531" s="48"/>
      <c r="Y531" s="48">
        <v>0</v>
      </c>
      <c r="Z531" s="48"/>
      <c r="AA531" s="48">
        <v>0</v>
      </c>
      <c r="AB531" s="48"/>
      <c r="AC531" s="48">
        <v>11986</v>
      </c>
      <c r="AD531" s="48"/>
      <c r="AE531" s="48">
        <f t="shared" si="30"/>
        <v>51640.31</v>
      </c>
      <c r="AG531" s="55">
        <v>-3434.99</v>
      </c>
      <c r="AI531" s="55">
        <v>26327.63</v>
      </c>
      <c r="AK531" s="55">
        <v>22892.639999999999</v>
      </c>
      <c r="AL531" s="8">
        <f>+'Gen Rev'!AI529-'Gen Exp'!AE531+'Gen Exp'!AI531-AK531</f>
        <v>0</v>
      </c>
      <c r="AM531" s="21" t="str">
        <f>'Gen Rev'!A529</f>
        <v>Roswell</v>
      </c>
      <c r="AN531" s="67" t="str">
        <f t="shared" si="28"/>
        <v>Roswell</v>
      </c>
      <c r="AO531" s="67" t="b">
        <f t="shared" si="29"/>
        <v>1</v>
      </c>
    </row>
    <row r="532" spans="1:41" x14ac:dyDescent="0.2">
      <c r="A532" s="1" t="s">
        <v>725</v>
      </c>
      <c r="C532" s="1" t="s">
        <v>414</v>
      </c>
      <c r="E532" s="48">
        <v>3767.78</v>
      </c>
      <c r="F532" s="48"/>
      <c r="G532" s="48">
        <v>0</v>
      </c>
      <c r="H532" s="48"/>
      <c r="I532" s="48">
        <v>9104.7900000000009</v>
      </c>
      <c r="J532" s="48"/>
      <c r="K532" s="48">
        <v>263.91000000000003</v>
      </c>
      <c r="L532" s="48"/>
      <c r="M532" s="48">
        <v>0</v>
      </c>
      <c r="N532" s="48"/>
      <c r="O532" s="48">
        <v>60934.99</v>
      </c>
      <c r="P532" s="48"/>
      <c r="Q532" s="48">
        <v>47777.45</v>
      </c>
      <c r="R532" s="48"/>
      <c r="S532" s="48">
        <v>0</v>
      </c>
      <c r="T532" s="48"/>
      <c r="U532" s="48">
        <v>0</v>
      </c>
      <c r="V532" s="48"/>
      <c r="W532" s="48">
        <v>0</v>
      </c>
      <c r="X532" s="48"/>
      <c r="Y532" s="48">
        <v>0</v>
      </c>
      <c r="Z532" s="48"/>
      <c r="AA532" s="48">
        <v>0</v>
      </c>
      <c r="AB532" s="48"/>
      <c r="AC532" s="48">
        <v>0</v>
      </c>
      <c r="AD532" s="48"/>
      <c r="AE532" s="48">
        <f t="shared" si="30"/>
        <v>121848.92</v>
      </c>
      <c r="AG532" s="55">
        <v>-8576.2000000000007</v>
      </c>
      <c r="AI532" s="55">
        <v>73133.740000000005</v>
      </c>
      <c r="AK532" s="55">
        <v>64557.54</v>
      </c>
      <c r="AL532" s="8">
        <f>+'Gen Rev'!AI530-'Gen Exp'!AE532+'Gen Exp'!AI532-AK532</f>
        <v>0</v>
      </c>
      <c r="AM532" s="21" t="str">
        <f>'Gen Rev'!A530</f>
        <v>Rushsylvania</v>
      </c>
      <c r="AN532" s="67" t="str">
        <f t="shared" si="28"/>
        <v>Rushsylvania</v>
      </c>
      <c r="AO532" s="67" t="b">
        <f t="shared" si="29"/>
        <v>1</v>
      </c>
    </row>
    <row r="533" spans="1:41" x14ac:dyDescent="0.2">
      <c r="A533" s="1" t="s">
        <v>60</v>
      </c>
      <c r="C533" s="1" t="s">
        <v>327</v>
      </c>
      <c r="E533" s="48">
        <v>2554.39</v>
      </c>
      <c r="F533" s="48"/>
      <c r="G533" s="48">
        <v>960.08</v>
      </c>
      <c r="H533" s="48"/>
      <c r="I533" s="48">
        <v>0</v>
      </c>
      <c r="J533" s="48"/>
      <c r="K533" s="48">
        <v>770.41</v>
      </c>
      <c r="L533" s="48"/>
      <c r="M533" s="48">
        <v>212.5</v>
      </c>
      <c r="N533" s="48"/>
      <c r="O533" s="48">
        <v>116.88</v>
      </c>
      <c r="P533" s="48"/>
      <c r="Q533" s="48">
        <v>19530.79</v>
      </c>
      <c r="R533" s="48"/>
      <c r="S533" s="48">
        <v>0</v>
      </c>
      <c r="T533" s="48"/>
      <c r="U533" s="48">
        <v>0</v>
      </c>
      <c r="V533" s="48"/>
      <c r="W533" s="48">
        <v>0</v>
      </c>
      <c r="X533" s="48"/>
      <c r="Y533" s="48">
        <v>1214.21</v>
      </c>
      <c r="Z533" s="48"/>
      <c r="AA533" s="48">
        <v>0</v>
      </c>
      <c r="AB533" s="48"/>
      <c r="AC533" s="48">
        <v>0</v>
      </c>
      <c r="AD533" s="48"/>
      <c r="AE533" s="48">
        <f t="shared" si="30"/>
        <v>25359.260000000002</v>
      </c>
      <c r="AG533" s="55">
        <v>-4265.54</v>
      </c>
      <c r="AI533" s="55">
        <v>35540.82</v>
      </c>
      <c r="AK533" s="55">
        <v>31275.279999999999</v>
      </c>
      <c r="AL533" s="8">
        <f>+'Gen Rev'!AI531-'Gen Exp'!AE533+'Gen Exp'!AI533-AK533</f>
        <v>0</v>
      </c>
      <c r="AM533" s="21" t="str">
        <f>'Gen Rev'!A531</f>
        <v>Rushville</v>
      </c>
      <c r="AN533" s="67" t="str">
        <f t="shared" si="28"/>
        <v>Rushville</v>
      </c>
      <c r="AO533" s="67" t="b">
        <f t="shared" si="29"/>
        <v>1</v>
      </c>
    </row>
    <row r="534" spans="1:41" x14ac:dyDescent="0.2">
      <c r="A534" s="1" t="s">
        <v>415</v>
      </c>
      <c r="C534" s="1" t="s">
        <v>414</v>
      </c>
      <c r="E534" s="48">
        <v>49635.76</v>
      </c>
      <c r="F534" s="48"/>
      <c r="G534" s="48">
        <v>0</v>
      </c>
      <c r="H534" s="48"/>
      <c r="I534" s="48">
        <v>0</v>
      </c>
      <c r="J534" s="48"/>
      <c r="K534" s="48">
        <v>48537.42</v>
      </c>
      <c r="L534" s="48"/>
      <c r="M534" s="48">
        <v>0</v>
      </c>
      <c r="N534" s="48"/>
      <c r="O534" s="48">
        <v>0</v>
      </c>
      <c r="P534" s="48"/>
      <c r="Q534" s="48">
        <v>208961.37</v>
      </c>
      <c r="R534" s="48"/>
      <c r="S534" s="48">
        <v>0</v>
      </c>
      <c r="T534" s="48"/>
      <c r="U534" s="48">
        <v>0</v>
      </c>
      <c r="V534" s="48"/>
      <c r="W534" s="48">
        <v>0</v>
      </c>
      <c r="X534" s="48"/>
      <c r="Y534" s="48">
        <v>172451.96</v>
      </c>
      <c r="Z534" s="48"/>
      <c r="AA534" s="48">
        <v>0</v>
      </c>
      <c r="AB534" s="48"/>
      <c r="AC534" s="48">
        <v>0</v>
      </c>
      <c r="AD534" s="48"/>
      <c r="AE534" s="48">
        <f t="shared" si="30"/>
        <v>479586.51</v>
      </c>
      <c r="AG534" s="55">
        <v>71621.75</v>
      </c>
      <c r="AI534" s="55">
        <v>1155626.05</v>
      </c>
      <c r="AK534" s="55">
        <v>1227247.8</v>
      </c>
      <c r="AL534" s="8">
        <f>+'Gen Rev'!AI532-'Gen Exp'!AE534+'Gen Exp'!AI534-AK534</f>
        <v>0</v>
      </c>
      <c r="AM534" s="21" t="str">
        <f>'Gen Rev'!A532</f>
        <v>Russells Point</v>
      </c>
      <c r="AN534" s="67" t="str">
        <f t="shared" si="28"/>
        <v>Russells Point</v>
      </c>
      <c r="AO534" s="67" t="b">
        <f t="shared" si="29"/>
        <v>1</v>
      </c>
    </row>
    <row r="535" spans="1:41" x14ac:dyDescent="0.2">
      <c r="A535" s="1" t="s">
        <v>808</v>
      </c>
      <c r="C535" s="1" t="s">
        <v>265</v>
      </c>
      <c r="E535" s="48">
        <v>0</v>
      </c>
      <c r="F535" s="48"/>
      <c r="G535" s="48">
        <v>0</v>
      </c>
      <c r="H535" s="48"/>
      <c r="I535" s="48">
        <v>0</v>
      </c>
      <c r="J535" s="48"/>
      <c r="K535" s="48">
        <v>0</v>
      </c>
      <c r="L535" s="48"/>
      <c r="M535" s="48">
        <v>0</v>
      </c>
      <c r="N535" s="48"/>
      <c r="O535" s="48">
        <v>0</v>
      </c>
      <c r="P535" s="48"/>
      <c r="Q535" s="48">
        <v>95228.01</v>
      </c>
      <c r="R535" s="48"/>
      <c r="S535" s="48">
        <v>0</v>
      </c>
      <c r="T535" s="48"/>
      <c r="U535" s="48">
        <v>0</v>
      </c>
      <c r="V535" s="48"/>
      <c r="W535" s="48">
        <v>0</v>
      </c>
      <c r="X535" s="48"/>
      <c r="Y535" s="48">
        <v>0</v>
      </c>
      <c r="Z535" s="48"/>
      <c r="AA535" s="48">
        <v>1500</v>
      </c>
      <c r="AB535" s="48"/>
      <c r="AC535" s="48">
        <v>0</v>
      </c>
      <c r="AD535" s="48"/>
      <c r="AE535" s="48">
        <f t="shared" si="30"/>
        <v>96728.01</v>
      </c>
      <c r="AG535" s="55">
        <v>-393.14</v>
      </c>
      <c r="AI535" s="55">
        <v>21906.07</v>
      </c>
      <c r="AK535" s="55">
        <v>21512.93</v>
      </c>
      <c r="AL535" s="8">
        <f>+'Gen Rev'!AI533-'Gen Exp'!AE535+'Gen Exp'!AI535-AK535</f>
        <v>0</v>
      </c>
      <c r="AM535" s="21" t="str">
        <f>'Gen Rev'!A533</f>
        <v>Russellville</v>
      </c>
      <c r="AN535" s="67" t="str">
        <f t="shared" si="28"/>
        <v>Russellville</v>
      </c>
      <c r="AO535" s="67" t="b">
        <f t="shared" si="29"/>
        <v>1</v>
      </c>
    </row>
    <row r="536" spans="1:41" x14ac:dyDescent="0.2">
      <c r="A536" s="1" t="s">
        <v>500</v>
      </c>
      <c r="C536" s="1" t="s">
        <v>498</v>
      </c>
      <c r="E536" s="48">
        <v>26731.040000000001</v>
      </c>
      <c r="F536" s="48"/>
      <c r="G536" s="48">
        <v>3461</v>
      </c>
      <c r="H536" s="48"/>
      <c r="I536" s="48">
        <v>57912.54</v>
      </c>
      <c r="J536" s="48"/>
      <c r="K536" s="48">
        <v>342.09</v>
      </c>
      <c r="L536" s="48"/>
      <c r="M536" s="48">
        <v>19246.75</v>
      </c>
      <c r="N536" s="48"/>
      <c r="O536" s="48">
        <v>0</v>
      </c>
      <c r="P536" s="48"/>
      <c r="Q536" s="48">
        <v>153691.14000000001</v>
      </c>
      <c r="R536" s="48"/>
      <c r="S536" s="48">
        <v>3108.98</v>
      </c>
      <c r="T536" s="48"/>
      <c r="U536" s="48">
        <v>0</v>
      </c>
      <c r="V536" s="48"/>
      <c r="W536" s="48">
        <v>0</v>
      </c>
      <c r="X536" s="48"/>
      <c r="Y536" s="48">
        <v>0</v>
      </c>
      <c r="Z536" s="48"/>
      <c r="AA536" s="48">
        <v>0</v>
      </c>
      <c r="AB536" s="48"/>
      <c r="AC536" s="48">
        <v>0</v>
      </c>
      <c r="AD536" s="48"/>
      <c r="AE536" s="48">
        <f t="shared" si="30"/>
        <v>264493.53999999998</v>
      </c>
      <c r="AG536" s="55">
        <v>-16882.68</v>
      </c>
      <c r="AI536" s="55">
        <v>319474.96999999997</v>
      </c>
      <c r="AK536" s="55">
        <v>302592.28999999998</v>
      </c>
      <c r="AL536" s="8">
        <f>+'Gen Rev'!AI534-'Gen Exp'!AE536+'Gen Exp'!AI536-AK536</f>
        <v>0</v>
      </c>
      <c r="AM536" s="21" t="str">
        <f>'Gen Rev'!A534</f>
        <v>Russia</v>
      </c>
      <c r="AN536" s="67" t="str">
        <f t="shared" si="28"/>
        <v>Russia</v>
      </c>
      <c r="AO536" s="67" t="b">
        <f t="shared" si="29"/>
        <v>1</v>
      </c>
    </row>
    <row r="537" spans="1:41" x14ac:dyDescent="0.2">
      <c r="A537" s="1" t="s">
        <v>648</v>
      </c>
      <c r="C537" s="1" t="s">
        <v>431</v>
      </c>
      <c r="E537" s="48">
        <v>23846.55</v>
      </c>
      <c r="F537" s="48"/>
      <c r="G537" s="48">
        <v>0</v>
      </c>
      <c r="H537" s="48"/>
      <c r="I537" s="48">
        <v>0</v>
      </c>
      <c r="J537" s="48"/>
      <c r="K537" s="48">
        <v>0</v>
      </c>
      <c r="L537" s="48"/>
      <c r="M537" s="48">
        <v>0</v>
      </c>
      <c r="N537" s="48"/>
      <c r="O537" s="48">
        <v>0</v>
      </c>
      <c r="P537" s="48"/>
      <c r="Q537" s="48">
        <v>53789.13</v>
      </c>
      <c r="R537" s="48"/>
      <c r="S537" s="48">
        <v>0</v>
      </c>
      <c r="T537" s="48"/>
      <c r="U537" s="48">
        <v>0</v>
      </c>
      <c r="V537" s="48"/>
      <c r="W537" s="48">
        <v>0</v>
      </c>
      <c r="X537" s="48"/>
      <c r="Y537" s="48">
        <v>10881.87</v>
      </c>
      <c r="Z537" s="48"/>
      <c r="AA537" s="48">
        <v>0</v>
      </c>
      <c r="AB537" s="48"/>
      <c r="AC537" s="48">
        <v>0</v>
      </c>
      <c r="AD537" s="48"/>
      <c r="AE537" s="48">
        <f t="shared" si="30"/>
        <v>88517.549999999988</v>
      </c>
      <c r="AG537" s="55">
        <v>-18535.54</v>
      </c>
      <c r="AI537" s="55">
        <v>33186.79</v>
      </c>
      <c r="AK537" s="55">
        <v>14651.25</v>
      </c>
      <c r="AL537" s="8">
        <f>+'Gen Rev'!AI535-'Gen Exp'!AE537+'Gen Exp'!AI537-AK537</f>
        <v>0</v>
      </c>
      <c r="AM537" s="21" t="str">
        <f>'Gen Rev'!A535</f>
        <v>Rutland</v>
      </c>
      <c r="AN537" s="67" t="str">
        <f t="shared" si="28"/>
        <v>Rutland</v>
      </c>
      <c r="AO537" s="67" t="b">
        <f t="shared" si="29"/>
        <v>1</v>
      </c>
    </row>
    <row r="538" spans="1:41" x14ac:dyDescent="0.2">
      <c r="A538" s="1" t="s">
        <v>282</v>
      </c>
      <c r="C538" s="1" t="s">
        <v>280</v>
      </c>
      <c r="E538" s="48">
        <v>321640.77</v>
      </c>
      <c r="F538" s="48"/>
      <c r="G538" s="48">
        <v>592.65</v>
      </c>
      <c r="H538" s="48"/>
      <c r="I538" s="48">
        <v>2008.72</v>
      </c>
      <c r="J538" s="48"/>
      <c r="K538" s="48">
        <v>0</v>
      </c>
      <c r="L538" s="48"/>
      <c r="M538" s="48">
        <v>0</v>
      </c>
      <c r="N538" s="48"/>
      <c r="O538" s="48">
        <v>83595.03</v>
      </c>
      <c r="P538" s="48"/>
      <c r="Q538" s="48">
        <v>214632.6</v>
      </c>
      <c r="R538" s="48"/>
      <c r="S538" s="48">
        <v>0</v>
      </c>
      <c r="T538" s="48"/>
      <c r="U538" s="48">
        <v>0</v>
      </c>
      <c r="V538" s="48"/>
      <c r="W538" s="48">
        <v>0</v>
      </c>
      <c r="X538" s="48"/>
      <c r="Y538" s="48">
        <v>0</v>
      </c>
      <c r="Z538" s="48"/>
      <c r="AA538" s="48">
        <v>0</v>
      </c>
      <c r="AB538" s="48"/>
      <c r="AC538" s="48">
        <v>6384.8</v>
      </c>
      <c r="AD538" s="48"/>
      <c r="AE538" s="48">
        <f t="shared" si="30"/>
        <v>628854.57000000007</v>
      </c>
      <c r="AG538" s="55">
        <v>-155743.51</v>
      </c>
      <c r="AI538" s="55">
        <v>476880.05</v>
      </c>
      <c r="AK538" s="55">
        <v>321136.53999999998</v>
      </c>
      <c r="AL538" s="8">
        <f>+'Gen Rev'!AI536-'Gen Exp'!AE538+'Gen Exp'!AI538-AK538</f>
        <v>0</v>
      </c>
      <c r="AM538" s="21" t="str">
        <f>'Gen Rev'!A536</f>
        <v>Sabina</v>
      </c>
      <c r="AN538" s="67" t="str">
        <f t="shared" si="28"/>
        <v>Sabina</v>
      </c>
      <c r="AO538" s="67" t="b">
        <f t="shared" si="29"/>
        <v>1</v>
      </c>
    </row>
    <row r="539" spans="1:41" x14ac:dyDescent="0.2">
      <c r="A539" s="1" t="s">
        <v>44</v>
      </c>
      <c r="C539" s="1" t="s">
        <v>283</v>
      </c>
      <c r="E539" s="48">
        <v>79514.87</v>
      </c>
      <c r="F539" s="48"/>
      <c r="G539" s="48">
        <v>0</v>
      </c>
      <c r="H539" s="48"/>
      <c r="I539" s="48">
        <v>0</v>
      </c>
      <c r="J539" s="48"/>
      <c r="K539" s="48">
        <v>0</v>
      </c>
      <c r="L539" s="48"/>
      <c r="M539" s="48">
        <v>0</v>
      </c>
      <c r="N539" s="48"/>
      <c r="O539" s="48">
        <v>0</v>
      </c>
      <c r="P539" s="48"/>
      <c r="Q539" s="48">
        <v>107808.77</v>
      </c>
      <c r="R539" s="48"/>
      <c r="S539" s="48">
        <v>0</v>
      </c>
      <c r="T539" s="48"/>
      <c r="U539" s="48">
        <v>0</v>
      </c>
      <c r="V539" s="48"/>
      <c r="W539" s="48">
        <v>0</v>
      </c>
      <c r="X539" s="48"/>
      <c r="Y539" s="48">
        <v>11000</v>
      </c>
      <c r="Z539" s="48"/>
      <c r="AA539" s="48">
        <v>0</v>
      </c>
      <c r="AB539" s="48"/>
      <c r="AC539" s="48">
        <v>0</v>
      </c>
      <c r="AD539" s="48"/>
      <c r="AE539" s="48">
        <f t="shared" si="30"/>
        <v>198323.64</v>
      </c>
      <c r="AG539" s="55">
        <v>44723.040000000001</v>
      </c>
      <c r="AI539" s="55">
        <v>872.15</v>
      </c>
      <c r="AK539" s="55">
        <v>45595.19</v>
      </c>
      <c r="AL539" s="8">
        <f>+'Gen Rev'!AI537-'Gen Exp'!AE539+'Gen Exp'!AI539-AK539</f>
        <v>0</v>
      </c>
      <c r="AM539" s="21" t="str">
        <f>'Gen Rev'!A537</f>
        <v>Salineville</v>
      </c>
      <c r="AN539" s="67" t="str">
        <f t="shared" si="28"/>
        <v>Salineville</v>
      </c>
      <c r="AO539" s="67" t="b">
        <f t="shared" si="29"/>
        <v>1</v>
      </c>
    </row>
    <row r="540" spans="1:41" ht="12.75" x14ac:dyDescent="0.2">
      <c r="A540" s="1" t="s">
        <v>785</v>
      </c>
      <c r="C540" s="1" t="s">
        <v>691</v>
      </c>
      <c r="D540" s="7"/>
      <c r="E540" s="48">
        <v>3742</v>
      </c>
      <c r="F540" s="48"/>
      <c r="G540" s="48">
        <v>0</v>
      </c>
      <c r="H540" s="48"/>
      <c r="I540" s="48">
        <v>333</v>
      </c>
      <c r="J540" s="48"/>
      <c r="K540" s="48">
        <v>0</v>
      </c>
      <c r="L540" s="48"/>
      <c r="M540" s="48">
        <v>0</v>
      </c>
      <c r="N540" s="48"/>
      <c r="O540" s="48">
        <v>0</v>
      </c>
      <c r="P540" s="48"/>
      <c r="Q540" s="48">
        <v>8629</v>
      </c>
      <c r="R540" s="48"/>
      <c r="S540" s="48">
        <v>0</v>
      </c>
      <c r="T540" s="48"/>
      <c r="U540" s="48">
        <v>0</v>
      </c>
      <c r="V540" s="48"/>
      <c r="W540" s="48">
        <v>0</v>
      </c>
      <c r="X540" s="48"/>
      <c r="Y540" s="48">
        <v>0</v>
      </c>
      <c r="Z540" s="48"/>
      <c r="AA540" s="48">
        <v>0</v>
      </c>
      <c r="AB540" s="48"/>
      <c r="AC540" s="48">
        <v>0</v>
      </c>
      <c r="AD540" s="48"/>
      <c r="AE540" s="48">
        <f t="shared" si="30"/>
        <v>12704</v>
      </c>
      <c r="AF540" s="48"/>
      <c r="AG540" s="59"/>
      <c r="AH540" s="59"/>
      <c r="AI540" s="59"/>
      <c r="AJ540" s="59"/>
      <c r="AK540" s="59"/>
      <c r="AL540" s="8">
        <f>+'Gen Rev'!AI538-'Gen Exp'!AE540+'Gen Exp'!AI540-AK540</f>
        <v>1582</v>
      </c>
      <c r="AM540" s="21" t="str">
        <f>'Gen Rev'!A538</f>
        <v>Sarahsville</v>
      </c>
      <c r="AN540" s="67" t="str">
        <f t="shared" si="28"/>
        <v>Sarahsville</v>
      </c>
      <c r="AO540" s="67" t="b">
        <f t="shared" si="29"/>
        <v>1</v>
      </c>
    </row>
    <row r="541" spans="1:41" x14ac:dyDescent="0.2">
      <c r="A541" s="1" t="s">
        <v>25</v>
      </c>
      <c r="C541" s="1" t="s">
        <v>265</v>
      </c>
      <c r="E541" s="48">
        <v>13255.02</v>
      </c>
      <c r="F541" s="48"/>
      <c r="G541" s="48">
        <v>1529.37</v>
      </c>
      <c r="H541" s="48"/>
      <c r="I541" s="48">
        <v>0</v>
      </c>
      <c r="J541" s="48"/>
      <c r="K541" s="48">
        <v>0</v>
      </c>
      <c r="L541" s="48"/>
      <c r="M541" s="48">
        <v>0</v>
      </c>
      <c r="N541" s="48"/>
      <c r="O541" s="48">
        <v>0</v>
      </c>
      <c r="P541" s="48"/>
      <c r="Q541" s="48">
        <v>123688.22</v>
      </c>
      <c r="R541" s="48"/>
      <c r="S541" s="48">
        <v>0</v>
      </c>
      <c r="T541" s="48"/>
      <c r="U541" s="48">
        <v>25272</v>
      </c>
      <c r="V541" s="48"/>
      <c r="W541" s="48">
        <v>228.49</v>
      </c>
      <c r="X541" s="48"/>
      <c r="Y541" s="48">
        <v>70000</v>
      </c>
      <c r="Z541" s="48"/>
      <c r="AA541" s="48">
        <v>0</v>
      </c>
      <c r="AB541" s="48"/>
      <c r="AC541" s="48">
        <v>0</v>
      </c>
      <c r="AD541" s="48"/>
      <c r="AE541" s="48">
        <f t="shared" si="30"/>
        <v>233973.09999999998</v>
      </c>
      <c r="AG541" s="55">
        <v>27415.51</v>
      </c>
      <c r="AI541" s="55">
        <v>61133</v>
      </c>
      <c r="AK541" s="55">
        <v>88548.51</v>
      </c>
      <c r="AL541" s="8">
        <f>+'Gen Rev'!AI539-'Gen Exp'!AE541+'Gen Exp'!AI541-AK541</f>
        <v>0</v>
      </c>
      <c r="AM541" s="21" t="str">
        <f>'Gen Rev'!A539</f>
        <v>Sardinia</v>
      </c>
      <c r="AN541" s="67" t="str">
        <f t="shared" si="28"/>
        <v>Sardinia</v>
      </c>
      <c r="AO541" s="67" t="b">
        <f t="shared" si="29"/>
        <v>1</v>
      </c>
    </row>
    <row r="542" spans="1:41" ht="12.75" x14ac:dyDescent="0.2">
      <c r="A542" s="1" t="s">
        <v>626</v>
      </c>
      <c r="C542" s="1" t="s">
        <v>619</v>
      </c>
      <c r="D542" s="7"/>
      <c r="E542" s="48">
        <v>9791</v>
      </c>
      <c r="F542" s="48"/>
      <c r="G542" s="48">
        <v>0</v>
      </c>
      <c r="H542" s="48"/>
      <c r="I542" s="48">
        <v>1550</v>
      </c>
      <c r="J542" s="48"/>
      <c r="K542" s="48">
        <v>54</v>
      </c>
      <c r="L542" s="48"/>
      <c r="M542" s="48">
        <v>0</v>
      </c>
      <c r="N542" s="48"/>
      <c r="O542" s="48">
        <v>0</v>
      </c>
      <c r="P542" s="48"/>
      <c r="Q542" s="48">
        <v>27882</v>
      </c>
      <c r="R542" s="48"/>
      <c r="S542" s="48">
        <v>124</v>
      </c>
      <c r="T542" s="48"/>
      <c r="U542" s="48">
        <v>0</v>
      </c>
      <c r="V542" s="48"/>
      <c r="W542" s="48">
        <v>0</v>
      </c>
      <c r="X542" s="48"/>
      <c r="Y542" s="48">
        <v>0</v>
      </c>
      <c r="Z542" s="48"/>
      <c r="AA542" s="48">
        <v>0</v>
      </c>
      <c r="AB542" s="48"/>
      <c r="AC542" s="48">
        <v>3817</v>
      </c>
      <c r="AD542" s="48"/>
      <c r="AE542" s="48">
        <f t="shared" ref="AE542:AE580" si="31">SUM(E542:AC542)</f>
        <v>43218</v>
      </c>
      <c r="AF542" s="48"/>
      <c r="AG542" s="59"/>
      <c r="AH542" s="59"/>
      <c r="AI542" s="59"/>
      <c r="AJ542" s="59"/>
      <c r="AK542" s="59"/>
      <c r="AL542" s="8">
        <f>+'Gen Rev'!AI540-'Gen Exp'!AE542+'Gen Exp'!AI542-AK542</f>
        <v>-17620</v>
      </c>
      <c r="AM542" s="21" t="str">
        <f>'Gen Rev'!A540</f>
        <v>Savannah</v>
      </c>
      <c r="AN542" s="67" t="str">
        <f t="shared" si="28"/>
        <v>Savannah</v>
      </c>
      <c r="AO542" s="67" t="b">
        <f t="shared" si="29"/>
        <v>1</v>
      </c>
    </row>
    <row r="543" spans="1:41" x14ac:dyDescent="0.2">
      <c r="A543" s="1" t="s">
        <v>376</v>
      </c>
      <c r="C543" s="1" t="s">
        <v>373</v>
      </c>
      <c r="E543" s="48">
        <v>25754</v>
      </c>
      <c r="F543" s="48"/>
      <c r="G543" s="48">
        <v>545</v>
      </c>
      <c r="H543" s="48"/>
      <c r="I543" s="48">
        <v>0</v>
      </c>
      <c r="J543" s="48"/>
      <c r="K543" s="48">
        <v>0</v>
      </c>
      <c r="L543" s="48"/>
      <c r="M543" s="48">
        <v>0</v>
      </c>
      <c r="N543" s="48"/>
      <c r="O543" s="48">
        <v>0</v>
      </c>
      <c r="P543" s="48"/>
      <c r="Q543" s="48">
        <v>105635</v>
      </c>
      <c r="R543" s="48"/>
      <c r="S543" s="48">
        <v>0</v>
      </c>
      <c r="T543" s="48"/>
      <c r="U543" s="48">
        <v>0</v>
      </c>
      <c r="V543" s="48"/>
      <c r="W543" s="48">
        <v>0</v>
      </c>
      <c r="X543" s="48"/>
      <c r="Y543" s="48">
        <v>3200</v>
      </c>
      <c r="Z543" s="48"/>
      <c r="AA543" s="48">
        <v>0</v>
      </c>
      <c r="AB543" s="48"/>
      <c r="AC543" s="48">
        <v>17552</v>
      </c>
      <c r="AD543" s="48"/>
      <c r="AE543" s="48">
        <f t="shared" si="31"/>
        <v>152686</v>
      </c>
      <c r="AF543" s="48"/>
      <c r="AG543" s="59"/>
      <c r="AH543" s="59"/>
      <c r="AI543" s="59"/>
      <c r="AJ543" s="59"/>
      <c r="AK543" s="59"/>
      <c r="AL543" s="8">
        <f>+'Gen Rev'!AI541-'Gen Exp'!AE543+'Gen Exp'!AI543-AK543</f>
        <v>67464</v>
      </c>
      <c r="AM543" s="21" t="str">
        <f>'Gen Rev'!A541</f>
        <v>Scio</v>
      </c>
      <c r="AN543" s="67" t="str">
        <f t="shared" si="28"/>
        <v>Scio</v>
      </c>
      <c r="AO543" s="67" t="b">
        <f t="shared" si="29"/>
        <v>1</v>
      </c>
    </row>
    <row r="544" spans="1:41" x14ac:dyDescent="0.2">
      <c r="A544" s="1" t="s">
        <v>534</v>
      </c>
      <c r="C544" s="1" t="s">
        <v>532</v>
      </c>
      <c r="E544" s="48">
        <v>7445.74</v>
      </c>
      <c r="F544" s="48"/>
      <c r="G544" s="48">
        <v>0</v>
      </c>
      <c r="H544" s="48"/>
      <c r="I544" s="48">
        <v>0</v>
      </c>
      <c r="J544" s="48"/>
      <c r="K544" s="48">
        <v>58.45</v>
      </c>
      <c r="L544" s="48"/>
      <c r="M544" s="48">
        <v>0</v>
      </c>
      <c r="N544" s="48"/>
      <c r="O544" s="48">
        <v>0</v>
      </c>
      <c r="P544" s="48"/>
      <c r="Q544" s="48">
        <v>26148.92</v>
      </c>
      <c r="R544" s="48"/>
      <c r="S544" s="48">
        <v>0</v>
      </c>
      <c r="T544" s="48"/>
      <c r="U544" s="48">
        <v>0</v>
      </c>
      <c r="V544" s="48"/>
      <c r="W544" s="48">
        <v>0</v>
      </c>
      <c r="X544" s="48"/>
      <c r="Y544" s="48">
        <v>7000</v>
      </c>
      <c r="Z544" s="48"/>
      <c r="AA544" s="48">
        <v>0</v>
      </c>
      <c r="AB544" s="48"/>
      <c r="AC544" s="48">
        <v>0</v>
      </c>
      <c r="AD544" s="48"/>
      <c r="AE544" s="48">
        <f t="shared" si="31"/>
        <v>40653.11</v>
      </c>
      <c r="AG544" s="55">
        <v>-4276.1000000000004</v>
      </c>
      <c r="AI544" s="55">
        <v>25542.65</v>
      </c>
      <c r="AK544" s="55">
        <v>21266.55</v>
      </c>
      <c r="AL544" s="8">
        <f>+'Gen Rev'!AI545-'Gen Exp'!AE544+'Gen Exp'!AI544-AK544</f>
        <v>0</v>
      </c>
      <c r="AM544" s="21" t="str">
        <f>'Gen Rev'!A545</f>
        <v>Scott</v>
      </c>
      <c r="AN544" s="67" t="str">
        <f t="shared" si="28"/>
        <v>Scott</v>
      </c>
      <c r="AO544" s="67" t="b">
        <f t="shared" si="29"/>
        <v>1</v>
      </c>
    </row>
    <row r="545" spans="1:41" ht="12.75" x14ac:dyDescent="0.2">
      <c r="A545" s="1" t="s">
        <v>627</v>
      </c>
      <c r="C545" s="1" t="s">
        <v>616</v>
      </c>
      <c r="D545" s="7"/>
      <c r="E545" s="48">
        <v>107940</v>
      </c>
      <c r="F545" s="48"/>
      <c r="G545" s="48">
        <v>0</v>
      </c>
      <c r="H545" s="48"/>
      <c r="I545" s="48">
        <v>0</v>
      </c>
      <c r="J545" s="48"/>
      <c r="K545" s="48">
        <v>0</v>
      </c>
      <c r="L545" s="48"/>
      <c r="M545" s="48">
        <v>12917</v>
      </c>
      <c r="N545" s="48"/>
      <c r="O545" s="48">
        <v>0</v>
      </c>
      <c r="P545" s="48"/>
      <c r="Q545" s="48">
        <v>55003</v>
      </c>
      <c r="R545" s="48"/>
      <c r="S545" s="48">
        <v>0</v>
      </c>
      <c r="T545" s="48"/>
      <c r="U545" s="48">
        <v>0</v>
      </c>
      <c r="V545" s="48"/>
      <c r="W545" s="48">
        <v>0</v>
      </c>
      <c r="X545" s="48"/>
      <c r="Y545" s="48">
        <v>0</v>
      </c>
      <c r="Z545" s="48"/>
      <c r="AA545" s="48">
        <v>0</v>
      </c>
      <c r="AB545" s="48"/>
      <c r="AC545" s="48">
        <v>0</v>
      </c>
      <c r="AD545" s="48"/>
      <c r="AE545" s="48">
        <f t="shared" si="31"/>
        <v>175860</v>
      </c>
      <c r="AF545" s="48"/>
      <c r="AG545" s="59"/>
      <c r="AH545" s="59"/>
      <c r="AI545" s="59"/>
      <c r="AJ545" s="59"/>
      <c r="AK545" s="59"/>
      <c r="AL545" s="8">
        <f>+'Gen Rev'!AI546-'Gen Exp'!AE545+'Gen Exp'!AI545-AK545</f>
        <v>2765</v>
      </c>
      <c r="AM545" s="21" t="str">
        <f>'Gen Rev'!A546</f>
        <v>Seaman</v>
      </c>
      <c r="AN545" s="67" t="str">
        <f t="shared" si="28"/>
        <v>Seaman</v>
      </c>
      <c r="AO545" s="67" t="b">
        <f t="shared" si="29"/>
        <v>1</v>
      </c>
    </row>
    <row r="546" spans="1:41" x14ac:dyDescent="0.2">
      <c r="A546" s="1" t="s">
        <v>428</v>
      </c>
      <c r="C546" s="1" t="s">
        <v>429</v>
      </c>
      <c r="E546" s="48">
        <v>786494</v>
      </c>
      <c r="F546" s="48"/>
      <c r="G546" s="48">
        <v>12509</v>
      </c>
      <c r="H546" s="48"/>
      <c r="I546" s="48">
        <v>0</v>
      </c>
      <c r="J546" s="48"/>
      <c r="K546" s="48">
        <v>0</v>
      </c>
      <c r="L546" s="48"/>
      <c r="M546" s="48">
        <v>0</v>
      </c>
      <c r="N546" s="48"/>
      <c r="O546" s="48">
        <v>0</v>
      </c>
      <c r="P546" s="48"/>
      <c r="Q546" s="48">
        <v>598716</v>
      </c>
      <c r="R546" s="48"/>
      <c r="S546" s="48">
        <v>0</v>
      </c>
      <c r="T546" s="48"/>
      <c r="U546" s="48">
        <v>183919</v>
      </c>
      <c r="V546" s="48"/>
      <c r="W546" s="48">
        <v>0</v>
      </c>
      <c r="X546" s="48"/>
      <c r="Y546" s="48">
        <v>0</v>
      </c>
      <c r="Z546" s="48"/>
      <c r="AA546" s="48">
        <v>0</v>
      </c>
      <c r="AB546" s="48"/>
      <c r="AC546" s="48">
        <v>150204</v>
      </c>
      <c r="AD546" s="48"/>
      <c r="AE546" s="48">
        <f t="shared" si="31"/>
        <v>1731842</v>
      </c>
      <c r="AF546" s="48"/>
      <c r="AG546" s="59"/>
      <c r="AH546" s="59"/>
      <c r="AI546" s="59"/>
      <c r="AJ546" s="59"/>
      <c r="AK546" s="59"/>
      <c r="AL546" s="8">
        <f>+'Gen Rev'!AI547-'Gen Exp'!AE546+'Gen Exp'!AI546-AK546</f>
        <v>299307</v>
      </c>
      <c r="AM546" s="21" t="str">
        <f>'Gen Rev'!A547</f>
        <v>Sebring</v>
      </c>
      <c r="AN546" s="67" t="str">
        <f t="shared" ref="AN546:AN561" si="32">A546</f>
        <v>Sebring</v>
      </c>
      <c r="AO546" s="67" t="b">
        <f t="shared" ref="AO546:AO561" si="33">AM546=AN546</f>
        <v>1</v>
      </c>
    </row>
    <row r="547" spans="1:41" x14ac:dyDescent="0.2">
      <c r="A547" s="1" t="s">
        <v>85</v>
      </c>
      <c r="C547" s="1" t="s">
        <v>349</v>
      </c>
      <c r="E547" s="48">
        <v>39421.42</v>
      </c>
      <c r="F547" s="48"/>
      <c r="G547" s="48">
        <v>0</v>
      </c>
      <c r="H547" s="48"/>
      <c r="I547" s="48">
        <v>678.93</v>
      </c>
      <c r="J547" s="48"/>
      <c r="K547" s="48">
        <v>0</v>
      </c>
      <c r="L547" s="48"/>
      <c r="M547" s="48">
        <v>0</v>
      </c>
      <c r="N547" s="48"/>
      <c r="O547" s="48">
        <v>0</v>
      </c>
      <c r="P547" s="48"/>
      <c r="Q547" s="48">
        <v>23043.95</v>
      </c>
      <c r="R547" s="48"/>
      <c r="S547" s="48">
        <v>0</v>
      </c>
      <c r="T547" s="48"/>
      <c r="U547" s="48">
        <v>0</v>
      </c>
      <c r="V547" s="48"/>
      <c r="W547" s="48">
        <v>0</v>
      </c>
      <c r="X547" s="48"/>
      <c r="Y547" s="48">
        <v>604</v>
      </c>
      <c r="Z547" s="48"/>
      <c r="AA547" s="48">
        <v>0</v>
      </c>
      <c r="AB547" s="48"/>
      <c r="AC547" s="48">
        <v>0</v>
      </c>
      <c r="AD547" s="48"/>
      <c r="AE547" s="48">
        <f t="shared" si="31"/>
        <v>63748.3</v>
      </c>
      <c r="AG547" s="55">
        <v>-43013.06</v>
      </c>
      <c r="AI547" s="55">
        <v>106886.12</v>
      </c>
      <c r="AK547" s="55">
        <v>63873.06</v>
      </c>
      <c r="AL547" s="8">
        <f>+'Gen Rev'!AI548-'Gen Exp'!AE547+'Gen Exp'!AI547-AK547</f>
        <v>0</v>
      </c>
      <c r="AM547" s="21" t="str">
        <f>'Gen Rev'!A548</f>
        <v>Senecaville</v>
      </c>
      <c r="AN547" s="67" t="str">
        <f t="shared" si="32"/>
        <v>Senecaville</v>
      </c>
      <c r="AO547" s="67" t="b">
        <f t="shared" si="33"/>
        <v>1</v>
      </c>
    </row>
    <row r="548" spans="1:41" x14ac:dyDescent="0.2">
      <c r="A548" s="1" t="s">
        <v>26</v>
      </c>
      <c r="C548" s="1" t="s">
        <v>480</v>
      </c>
      <c r="E548" s="48">
        <v>57365.62</v>
      </c>
      <c r="F548" s="48"/>
      <c r="G548" s="48">
        <v>131.12</v>
      </c>
      <c r="H548" s="48"/>
      <c r="I548" s="48">
        <v>3150.78</v>
      </c>
      <c r="J548" s="48"/>
      <c r="K548" s="48">
        <v>0</v>
      </c>
      <c r="L548" s="48"/>
      <c r="M548" s="48">
        <v>444.22</v>
      </c>
      <c r="N548" s="48"/>
      <c r="O548" s="48">
        <v>0</v>
      </c>
      <c r="P548" s="48"/>
      <c r="Q548" s="48">
        <v>80495.47</v>
      </c>
      <c r="R548" s="48"/>
      <c r="S548" s="48">
        <v>0</v>
      </c>
      <c r="T548" s="48"/>
      <c r="U548" s="48">
        <v>0</v>
      </c>
      <c r="V548" s="48"/>
      <c r="W548" s="48">
        <v>0</v>
      </c>
      <c r="X548" s="48"/>
      <c r="Y548" s="48">
        <v>0</v>
      </c>
      <c r="Z548" s="48"/>
      <c r="AA548" s="48">
        <v>0</v>
      </c>
      <c r="AB548" s="48"/>
      <c r="AC548" s="48">
        <v>0</v>
      </c>
      <c r="AD548" s="48"/>
      <c r="AE548" s="48">
        <f t="shared" si="31"/>
        <v>141587.21000000002</v>
      </c>
      <c r="AG548" s="55">
        <v>674.37</v>
      </c>
      <c r="AI548" s="55">
        <v>95863.08</v>
      </c>
      <c r="AK548" s="55">
        <v>96537.45</v>
      </c>
      <c r="AL548" s="8">
        <f>+'Gen Rev'!AI549-'Gen Exp'!AE548+'Gen Exp'!AI548-AK548</f>
        <v>0</v>
      </c>
      <c r="AM548" s="21" t="str">
        <f>'Gen Rev'!A549</f>
        <v>Seven Mile</v>
      </c>
      <c r="AN548" s="67" t="str">
        <f t="shared" si="32"/>
        <v>Seven Mile</v>
      </c>
      <c r="AO548" s="67" t="b">
        <f t="shared" si="33"/>
        <v>1</v>
      </c>
    </row>
    <row r="549" spans="1:41" x14ac:dyDescent="0.2">
      <c r="A549" s="1" t="s">
        <v>144</v>
      </c>
      <c r="C549" s="1" t="s">
        <v>823</v>
      </c>
      <c r="E549" s="48">
        <v>0</v>
      </c>
      <c r="F549" s="48"/>
      <c r="G549" s="48">
        <v>1506.5</v>
      </c>
      <c r="H549" s="48"/>
      <c r="I549" s="48">
        <v>90191.12</v>
      </c>
      <c r="J549" s="48"/>
      <c r="K549" s="48">
        <v>9570.65</v>
      </c>
      <c r="L549" s="48"/>
      <c r="M549" s="48">
        <v>0</v>
      </c>
      <c r="N549" s="48"/>
      <c r="O549" s="48">
        <v>0</v>
      </c>
      <c r="P549" s="48"/>
      <c r="Q549" s="48">
        <v>290243.24</v>
      </c>
      <c r="R549" s="48"/>
      <c r="S549" s="48">
        <v>0</v>
      </c>
      <c r="T549" s="48"/>
      <c r="U549" s="48">
        <v>0</v>
      </c>
      <c r="V549" s="48"/>
      <c r="W549" s="48">
        <v>0</v>
      </c>
      <c r="X549" s="48"/>
      <c r="Y549" s="48">
        <v>1174017.53</v>
      </c>
      <c r="Z549" s="48"/>
      <c r="AA549" s="48">
        <v>0</v>
      </c>
      <c r="AB549" s="48"/>
      <c r="AC549" s="48">
        <v>0</v>
      </c>
      <c r="AD549" s="48"/>
      <c r="AE549" s="48">
        <f t="shared" si="31"/>
        <v>1565529.04</v>
      </c>
      <c r="AG549" s="55">
        <v>355238.44</v>
      </c>
      <c r="AI549" s="55">
        <v>1083019.31</v>
      </c>
      <c r="AK549" s="55">
        <v>1438257.75</v>
      </c>
      <c r="AL549" s="8">
        <f>+'Gen Rev'!AI550-'Gen Exp'!AE549+'Gen Exp'!AI549-AK549</f>
        <v>0</v>
      </c>
      <c r="AM549" s="21" t="str">
        <f>'Gen Rev'!A550</f>
        <v>Seville</v>
      </c>
      <c r="AN549" s="67" t="str">
        <f t="shared" si="32"/>
        <v>Seville</v>
      </c>
      <c r="AO549" s="67" t="b">
        <f t="shared" si="33"/>
        <v>1</v>
      </c>
    </row>
    <row r="550" spans="1:41" x14ac:dyDescent="0.2">
      <c r="A550" s="1" t="s">
        <v>20</v>
      </c>
      <c r="C550" s="1" t="s">
        <v>261</v>
      </c>
      <c r="E550" s="48">
        <v>318892.92</v>
      </c>
      <c r="F550" s="48"/>
      <c r="G550" s="48">
        <v>13101.38</v>
      </c>
      <c r="H550" s="48"/>
      <c r="I550" s="48">
        <v>27696.17</v>
      </c>
      <c r="J550" s="48"/>
      <c r="K550" s="48">
        <v>0</v>
      </c>
      <c r="L550" s="48"/>
      <c r="M550" s="48">
        <v>0</v>
      </c>
      <c r="N550" s="48"/>
      <c r="O550" s="48">
        <v>43760.77</v>
      </c>
      <c r="P550" s="48"/>
      <c r="Q550" s="48">
        <v>200732.64</v>
      </c>
      <c r="R550" s="48"/>
      <c r="S550" s="48">
        <v>0</v>
      </c>
      <c r="T550" s="48"/>
      <c r="U550" s="48">
        <v>2187.4299999999998</v>
      </c>
      <c r="V550" s="48"/>
      <c r="W550" s="48">
        <v>535.29999999999995</v>
      </c>
      <c r="X550" s="48"/>
      <c r="Y550" s="48">
        <v>0</v>
      </c>
      <c r="Z550" s="48"/>
      <c r="AA550" s="48">
        <v>0</v>
      </c>
      <c r="AB550" s="48"/>
      <c r="AC550" s="48">
        <v>4.3600000000000003</v>
      </c>
      <c r="AD550" s="48"/>
      <c r="AE550" s="48">
        <f t="shared" si="31"/>
        <v>606910.97000000009</v>
      </c>
      <c r="AG550" s="55">
        <v>134336.34</v>
      </c>
      <c r="AI550" s="55">
        <v>582138.86</v>
      </c>
      <c r="AK550" s="55">
        <v>716475.2</v>
      </c>
      <c r="AL550" s="8">
        <f>+'Gen Rev'!AI551-'Gen Exp'!AE550+'Gen Exp'!AI550-AK550</f>
        <v>0</v>
      </c>
      <c r="AM550" s="21" t="str">
        <f>'Gen Rev'!A551</f>
        <v>Shadyside</v>
      </c>
      <c r="AN550" s="67" t="str">
        <f t="shared" si="32"/>
        <v>Shadyside</v>
      </c>
      <c r="AO550" s="67" t="b">
        <f t="shared" si="33"/>
        <v>1</v>
      </c>
    </row>
    <row r="551" spans="1:41" x14ac:dyDescent="0.2">
      <c r="A551" s="1" t="s">
        <v>173</v>
      </c>
      <c r="C551" s="1" t="s">
        <v>464</v>
      </c>
      <c r="E551" s="48">
        <v>40798.22</v>
      </c>
      <c r="F551" s="48"/>
      <c r="G551" s="48">
        <v>293.5</v>
      </c>
      <c r="H551" s="48"/>
      <c r="I551" s="48">
        <v>0</v>
      </c>
      <c r="J551" s="48"/>
      <c r="K551" s="48">
        <v>0</v>
      </c>
      <c r="L551" s="48"/>
      <c r="M551" s="48">
        <v>0</v>
      </c>
      <c r="N551" s="48"/>
      <c r="O551" s="48">
        <v>500</v>
      </c>
      <c r="P551" s="48"/>
      <c r="Q551" s="48">
        <v>47259.82</v>
      </c>
      <c r="R551" s="48"/>
      <c r="S551" s="48">
        <v>0</v>
      </c>
      <c r="T551" s="48"/>
      <c r="U551" s="48">
        <v>0</v>
      </c>
      <c r="V551" s="48"/>
      <c r="W551" s="48">
        <v>0</v>
      </c>
      <c r="X551" s="48"/>
      <c r="Y551" s="48">
        <v>0</v>
      </c>
      <c r="Z551" s="48"/>
      <c r="AA551" s="48">
        <v>0</v>
      </c>
      <c r="AB551" s="48"/>
      <c r="AC551" s="48">
        <v>33060.14</v>
      </c>
      <c r="AD551" s="48"/>
      <c r="AE551" s="48">
        <f t="shared" si="31"/>
        <v>121911.68000000001</v>
      </c>
      <c r="AG551" s="55">
        <v>-10065.959999999999</v>
      </c>
      <c r="AI551" s="55">
        <v>42250.37</v>
      </c>
      <c r="AK551" s="55">
        <v>32184.41</v>
      </c>
      <c r="AL551" s="8">
        <f>+'Gen Rev'!AI552-'Gen Exp'!AE551+'Gen Exp'!AI551-AK551</f>
        <v>0</v>
      </c>
      <c r="AM551" s="21" t="str">
        <f>'Gen Rev'!A552</f>
        <v>Shawnee</v>
      </c>
      <c r="AN551" s="67" t="str">
        <f t="shared" si="32"/>
        <v>Shawnee</v>
      </c>
      <c r="AO551" s="67" t="b">
        <f t="shared" si="33"/>
        <v>1</v>
      </c>
    </row>
    <row r="552" spans="1:41" x14ac:dyDescent="0.2">
      <c r="A552" s="1" t="s">
        <v>322</v>
      </c>
      <c r="C552" s="1" t="s">
        <v>320</v>
      </c>
      <c r="E552" s="48">
        <v>305064.95</v>
      </c>
      <c r="F552" s="48"/>
      <c r="G552" s="48">
        <v>0</v>
      </c>
      <c r="H552" s="48"/>
      <c r="I552" s="48">
        <v>0</v>
      </c>
      <c r="J552" s="48"/>
      <c r="K552" s="48">
        <v>73036.259999999995</v>
      </c>
      <c r="L552" s="48"/>
      <c r="M552" s="48">
        <v>0</v>
      </c>
      <c r="N552" s="48"/>
      <c r="O552" s="48">
        <v>9768.09</v>
      </c>
      <c r="P552" s="48"/>
      <c r="Q552" s="48">
        <v>275054.36</v>
      </c>
      <c r="R552" s="48"/>
      <c r="S552" s="48">
        <v>903.09</v>
      </c>
      <c r="T552" s="48"/>
      <c r="U552" s="48">
        <v>0</v>
      </c>
      <c r="V552" s="48"/>
      <c r="W552" s="48">
        <v>0</v>
      </c>
      <c r="X552" s="48"/>
      <c r="Y552" s="48">
        <v>0</v>
      </c>
      <c r="Z552" s="48"/>
      <c r="AA552" s="48">
        <v>0</v>
      </c>
      <c r="AB552" s="48"/>
      <c r="AC552" s="48">
        <v>31.54</v>
      </c>
      <c r="AD552" s="48"/>
      <c r="AE552" s="48">
        <f t="shared" si="31"/>
        <v>663858.29</v>
      </c>
      <c r="AG552" s="55">
        <v>-61672.31</v>
      </c>
      <c r="AI552" s="55">
        <v>277892.15999999997</v>
      </c>
      <c r="AK552" s="55">
        <v>216219.85</v>
      </c>
      <c r="AL552" s="8">
        <f>+'Gen Rev'!AI553-'Gen Exp'!AE552+'Gen Exp'!AI552-AK552</f>
        <v>0</v>
      </c>
      <c r="AM552" s="21" t="str">
        <f>'Gen Rev'!A553</f>
        <v>Shawnee Hills</v>
      </c>
      <c r="AN552" s="67" t="str">
        <f t="shared" si="32"/>
        <v>Shawnee Hills</v>
      </c>
      <c r="AO552" s="67" t="b">
        <f t="shared" si="33"/>
        <v>1</v>
      </c>
    </row>
    <row r="553" spans="1:41" x14ac:dyDescent="0.2">
      <c r="A553" s="1" t="s">
        <v>420</v>
      </c>
      <c r="C553" s="1" t="s">
        <v>419</v>
      </c>
      <c r="E553" s="48">
        <v>3134023</v>
      </c>
      <c r="F553" s="48"/>
      <c r="G553" s="48">
        <v>0</v>
      </c>
      <c r="H553" s="48"/>
      <c r="I553" s="48">
        <v>28654</v>
      </c>
      <c r="J553" s="48"/>
      <c r="K553" s="48">
        <v>0</v>
      </c>
      <c r="L553" s="48"/>
      <c r="M553" s="48">
        <v>65341</v>
      </c>
      <c r="N553" s="48"/>
      <c r="O553" s="48">
        <v>0</v>
      </c>
      <c r="P553" s="48"/>
      <c r="Q553" s="48">
        <v>1213390</v>
      </c>
      <c r="R553" s="48"/>
      <c r="S553" s="48">
        <v>156893</v>
      </c>
      <c r="T553" s="48"/>
      <c r="U553" s="48">
        <v>0</v>
      </c>
      <c r="V553" s="48"/>
      <c r="W553" s="48">
        <v>0</v>
      </c>
      <c r="X553" s="48"/>
      <c r="Y553" s="48">
        <v>254819</v>
      </c>
      <c r="Z553" s="48"/>
      <c r="AA553" s="48">
        <v>0</v>
      </c>
      <c r="AB553" s="48"/>
      <c r="AC553" s="48">
        <v>0</v>
      </c>
      <c r="AD553" s="48"/>
      <c r="AE553" s="48">
        <f t="shared" si="31"/>
        <v>4853120</v>
      </c>
      <c r="AF553" s="48"/>
      <c r="AG553" s="59"/>
      <c r="AH553" s="59"/>
      <c r="AI553" s="59"/>
      <c r="AJ553" s="59"/>
      <c r="AK553" s="59"/>
      <c r="AL553" s="8">
        <f>+'Gen Rev'!AI554-'Gen Exp'!AE553+'Gen Exp'!AI553-AK553</f>
        <v>176713</v>
      </c>
      <c r="AM553" s="21" t="str">
        <f>'Gen Rev'!A554</f>
        <v>Sheffield</v>
      </c>
      <c r="AN553" s="67" t="str">
        <f t="shared" si="32"/>
        <v>Sheffield</v>
      </c>
      <c r="AO553" s="67" t="b">
        <f t="shared" si="33"/>
        <v>1</v>
      </c>
    </row>
    <row r="554" spans="1:41" x14ac:dyDescent="0.2">
      <c r="A554" s="1" t="s">
        <v>30</v>
      </c>
      <c r="C554" s="1" t="s">
        <v>57</v>
      </c>
      <c r="E554" s="48">
        <v>26174.39</v>
      </c>
      <c r="F554" s="48"/>
      <c r="G554" s="48">
        <v>415</v>
      </c>
      <c r="H554" s="48"/>
      <c r="I554" s="48">
        <v>716.03</v>
      </c>
      <c r="J554" s="48"/>
      <c r="K554" s="48">
        <v>0</v>
      </c>
      <c r="L554" s="48"/>
      <c r="M554" s="48">
        <v>12144.16</v>
      </c>
      <c r="N554" s="48"/>
      <c r="O554" s="48">
        <v>0</v>
      </c>
      <c r="P554" s="48"/>
      <c r="Q554" s="48">
        <v>23401.25</v>
      </c>
      <c r="R554" s="48"/>
      <c r="S554" s="48">
        <v>0</v>
      </c>
      <c r="T554" s="48"/>
      <c r="U554" s="48">
        <v>0</v>
      </c>
      <c r="V554" s="48"/>
      <c r="W554" s="48">
        <v>0</v>
      </c>
      <c r="X554" s="48"/>
      <c r="Y554" s="48">
        <v>0</v>
      </c>
      <c r="Z554" s="48"/>
      <c r="AA554" s="48">
        <v>0</v>
      </c>
      <c r="AB554" s="48"/>
      <c r="AC554" s="48">
        <v>4611.7700000000004</v>
      </c>
      <c r="AD554" s="48"/>
      <c r="AE554" s="48">
        <f t="shared" si="31"/>
        <v>67462.600000000006</v>
      </c>
      <c r="AG554" s="55">
        <v>6797.62</v>
      </c>
      <c r="AI554" s="55">
        <v>65872.91</v>
      </c>
      <c r="AK554" s="55">
        <v>72670.53</v>
      </c>
      <c r="AL554" s="8">
        <f>+'Gen Rev'!AI555-'Gen Exp'!AE554+'Gen Exp'!AI554-AK554</f>
        <v>0</v>
      </c>
      <c r="AM554" s="21" t="str">
        <f>'Gen Rev'!A555</f>
        <v>Sherrodsville</v>
      </c>
      <c r="AN554" s="67" t="str">
        <f t="shared" si="32"/>
        <v>Sherrodsville</v>
      </c>
      <c r="AO554" s="67" t="b">
        <f t="shared" si="33"/>
        <v>1</v>
      </c>
    </row>
    <row r="555" spans="1:41" x14ac:dyDescent="0.2">
      <c r="A555" s="1" t="s">
        <v>51</v>
      </c>
      <c r="C555" s="1" t="s">
        <v>319</v>
      </c>
      <c r="E555" s="48">
        <v>17100.919999999998</v>
      </c>
      <c r="F555" s="48"/>
      <c r="G555" s="48">
        <v>1500</v>
      </c>
      <c r="H555" s="48"/>
      <c r="I555" s="48">
        <v>1000</v>
      </c>
      <c r="J555" s="48"/>
      <c r="K555" s="48">
        <v>538.25</v>
      </c>
      <c r="L555" s="48"/>
      <c r="M555" s="48">
        <v>0</v>
      </c>
      <c r="N555" s="48"/>
      <c r="O555" s="48">
        <v>0</v>
      </c>
      <c r="P555" s="48"/>
      <c r="Q555" s="48">
        <v>107867.05</v>
      </c>
      <c r="R555" s="48"/>
      <c r="S555" s="48">
        <v>4330.24</v>
      </c>
      <c r="T555" s="48"/>
      <c r="U555" s="48">
        <v>0</v>
      </c>
      <c r="V555" s="48"/>
      <c r="W555" s="48">
        <v>0</v>
      </c>
      <c r="X555" s="48"/>
      <c r="Y555" s="48">
        <v>28351.61</v>
      </c>
      <c r="Z555" s="48"/>
      <c r="AA555" s="48">
        <v>0</v>
      </c>
      <c r="AB555" s="48"/>
      <c r="AC555" s="48">
        <v>0</v>
      </c>
      <c r="AD555" s="48"/>
      <c r="AE555" s="48">
        <f t="shared" si="31"/>
        <v>160688.07</v>
      </c>
      <c r="AG555" s="55">
        <v>-9204.9599999999991</v>
      </c>
      <c r="AI555" s="55">
        <v>61143.41</v>
      </c>
      <c r="AK555" s="55">
        <v>51938.45</v>
      </c>
      <c r="AL555" s="8">
        <f>+'Gen Rev'!AI556-'Gen Exp'!AE555+'Gen Exp'!AI555-AK555</f>
        <v>0</v>
      </c>
      <c r="AM555" s="21" t="str">
        <f>'Gen Rev'!A556</f>
        <v>Sherwood</v>
      </c>
      <c r="AN555" s="67" t="str">
        <f t="shared" si="32"/>
        <v>Sherwood</v>
      </c>
      <c r="AO555" s="67" t="b">
        <f t="shared" si="33"/>
        <v>1</v>
      </c>
    </row>
    <row r="556" spans="1:41" x14ac:dyDescent="0.2">
      <c r="A556" s="1" t="s">
        <v>483</v>
      </c>
      <c r="C556" s="1" t="s">
        <v>481</v>
      </c>
      <c r="D556" s="17"/>
      <c r="E556" s="48">
        <v>12000</v>
      </c>
      <c r="F556" s="48"/>
      <c r="G556" s="48">
        <v>687</v>
      </c>
      <c r="H556" s="48"/>
      <c r="I556" s="48">
        <v>530</v>
      </c>
      <c r="J556" s="48"/>
      <c r="K556" s="48">
        <v>1453</v>
      </c>
      <c r="L556" s="48"/>
      <c r="M556" s="48">
        <v>112</v>
      </c>
      <c r="N556" s="48"/>
      <c r="O556" s="48">
        <v>22558</v>
      </c>
      <c r="P556" s="48"/>
      <c r="Q556" s="48">
        <v>0</v>
      </c>
      <c r="R556" s="48"/>
      <c r="S556" s="48">
        <v>104081</v>
      </c>
      <c r="T556" s="48"/>
      <c r="U556" s="48">
        <v>0</v>
      </c>
      <c r="V556" s="48"/>
      <c r="W556" s="48">
        <v>0</v>
      </c>
      <c r="X556" s="48"/>
      <c r="Y556" s="48">
        <v>0</v>
      </c>
      <c r="Z556" s="48"/>
      <c r="AA556" s="48">
        <v>0</v>
      </c>
      <c r="AB556" s="48"/>
      <c r="AC556" s="48">
        <v>0</v>
      </c>
      <c r="AD556" s="48"/>
      <c r="AE556" s="48">
        <f t="shared" si="31"/>
        <v>141421</v>
      </c>
      <c r="AF556" s="48"/>
      <c r="AG556" s="59"/>
      <c r="AH556" s="59"/>
      <c r="AI556" s="59"/>
      <c r="AJ556" s="59"/>
      <c r="AK556" s="59"/>
      <c r="AL556" s="8">
        <f>+'Gen Rev'!AI557-'Gen Exp'!AE556+'Gen Exp'!AI556-AK556</f>
        <v>107091</v>
      </c>
      <c r="AM556" s="21" t="str">
        <f>'Gen Rev'!A557</f>
        <v>Shiloh</v>
      </c>
      <c r="AN556" s="67" t="str">
        <f t="shared" si="32"/>
        <v>Shiloh</v>
      </c>
      <c r="AO556" s="67" t="b">
        <f t="shared" si="33"/>
        <v>1</v>
      </c>
    </row>
    <row r="557" spans="1:41" x14ac:dyDescent="0.2">
      <c r="A557" s="1" t="s">
        <v>777</v>
      </c>
      <c r="C557" s="1" t="s">
        <v>547</v>
      </c>
      <c r="D557" s="6"/>
      <c r="E557" s="48">
        <v>251406</v>
      </c>
      <c r="F557" s="48"/>
      <c r="G557" s="48">
        <v>0</v>
      </c>
      <c r="H557" s="48"/>
      <c r="I557" s="48">
        <v>0</v>
      </c>
      <c r="J557" s="48"/>
      <c r="K557" s="48">
        <v>0</v>
      </c>
      <c r="L557" s="48"/>
      <c r="M557" s="48">
        <v>0</v>
      </c>
      <c r="N557" s="48"/>
      <c r="O557" s="48">
        <v>0</v>
      </c>
      <c r="P557" s="48"/>
      <c r="Q557" s="48">
        <v>113068</v>
      </c>
      <c r="R557" s="48"/>
      <c r="S557" s="48">
        <v>0</v>
      </c>
      <c r="T557" s="48"/>
      <c r="U557" s="48">
        <v>0</v>
      </c>
      <c r="V557" s="48"/>
      <c r="W557" s="48">
        <v>0</v>
      </c>
      <c r="X557" s="48"/>
      <c r="Y557" s="48">
        <v>13000</v>
      </c>
      <c r="Z557" s="48"/>
      <c r="AA557" s="48">
        <v>0</v>
      </c>
      <c r="AB557" s="48"/>
      <c r="AC557" s="48">
        <v>17225</v>
      </c>
      <c r="AD557" s="48"/>
      <c r="AE557" s="48">
        <f t="shared" si="31"/>
        <v>394699</v>
      </c>
      <c r="AF557" s="48"/>
      <c r="AG557" s="59"/>
      <c r="AH557" s="59"/>
      <c r="AI557" s="59"/>
      <c r="AJ557" s="59"/>
      <c r="AK557" s="59"/>
      <c r="AL557" s="8">
        <f>+'Gen Rev'!AI558-'Gen Exp'!AE557+'Gen Exp'!AI557-AK557</f>
        <v>-73159</v>
      </c>
      <c r="AM557" s="21" t="str">
        <f>'Gen Rev'!A558</f>
        <v>Shreve</v>
      </c>
      <c r="AN557" s="67" t="str">
        <f t="shared" si="32"/>
        <v>Shreve</v>
      </c>
      <c r="AO557" s="67" t="b">
        <f t="shared" si="33"/>
        <v>1</v>
      </c>
    </row>
    <row r="558" spans="1:41" x14ac:dyDescent="0.2">
      <c r="A558" s="1" t="s">
        <v>515</v>
      </c>
      <c r="C558" s="1" t="s">
        <v>511</v>
      </c>
      <c r="E558" s="48">
        <v>1023550</v>
      </c>
      <c r="F558" s="48"/>
      <c r="G558" s="48">
        <v>29632</v>
      </c>
      <c r="H558" s="48"/>
      <c r="I558" s="48">
        <v>79174</v>
      </c>
      <c r="J558" s="48"/>
      <c r="K558" s="48">
        <v>2629</v>
      </c>
      <c r="L558" s="48"/>
      <c r="M558" s="48">
        <v>0</v>
      </c>
      <c r="N558" s="48"/>
      <c r="O558" s="48">
        <v>328933</v>
      </c>
      <c r="P558" s="48"/>
      <c r="Q558" s="48">
        <v>363994</v>
      </c>
      <c r="R558" s="48"/>
      <c r="S558" s="48">
        <v>0</v>
      </c>
      <c r="T558" s="48"/>
      <c r="U558" s="48">
        <v>0</v>
      </c>
      <c r="V558" s="48"/>
      <c r="W558" s="48">
        <v>0</v>
      </c>
      <c r="X558" s="48"/>
      <c r="Y558" s="48">
        <v>116062</v>
      </c>
      <c r="Z558" s="48"/>
      <c r="AA558" s="48">
        <v>0</v>
      </c>
      <c r="AB558" s="48"/>
      <c r="AC558" s="48">
        <v>0</v>
      </c>
      <c r="AD558" s="48"/>
      <c r="AE558" s="48">
        <f t="shared" si="31"/>
        <v>1943974</v>
      </c>
      <c r="AF558" s="48"/>
      <c r="AG558" s="59"/>
      <c r="AH558" s="59"/>
      <c r="AI558" s="59"/>
      <c r="AJ558" s="59"/>
      <c r="AK558" s="59"/>
      <c r="AL558" s="8">
        <f>+'Gen Rev'!AI559-'Gen Exp'!AE558+'Gen Exp'!AI558-AK558</f>
        <v>338979</v>
      </c>
      <c r="AM558" s="21" t="str">
        <f>'Gen Rev'!A559</f>
        <v>Silver Lake</v>
      </c>
      <c r="AN558" s="67" t="str">
        <f t="shared" si="32"/>
        <v>Silver Lake</v>
      </c>
      <c r="AO558" s="67" t="b">
        <f t="shared" si="33"/>
        <v>1</v>
      </c>
    </row>
    <row r="559" spans="1:41" x14ac:dyDescent="0.2">
      <c r="A559" s="1" t="s">
        <v>815</v>
      </c>
      <c r="C559" s="1" t="s">
        <v>351</v>
      </c>
      <c r="E559" s="48">
        <v>1081756</v>
      </c>
      <c r="F559" s="48"/>
      <c r="G559" s="48">
        <v>5175</v>
      </c>
      <c r="H559" s="48"/>
      <c r="I559" s="48">
        <v>6765</v>
      </c>
      <c r="J559" s="48"/>
      <c r="K559" s="48">
        <v>387296</v>
      </c>
      <c r="L559" s="48"/>
      <c r="M559" s="48">
        <v>0</v>
      </c>
      <c r="N559" s="48"/>
      <c r="O559" s="48">
        <v>0</v>
      </c>
      <c r="P559" s="48"/>
      <c r="Q559" s="48">
        <v>573655</v>
      </c>
      <c r="R559" s="48"/>
      <c r="S559" s="48">
        <v>0</v>
      </c>
      <c r="T559" s="48"/>
      <c r="U559" s="48">
        <v>4158</v>
      </c>
      <c r="V559" s="48"/>
      <c r="W559" s="48">
        <v>0</v>
      </c>
      <c r="X559" s="48"/>
      <c r="Y559" s="48">
        <v>186000</v>
      </c>
      <c r="Z559" s="48"/>
      <c r="AA559" s="48">
        <v>0</v>
      </c>
      <c r="AB559" s="48"/>
      <c r="AC559" s="48">
        <v>0</v>
      </c>
      <c r="AD559" s="48"/>
      <c r="AE559" s="48">
        <f t="shared" si="31"/>
        <v>2244805</v>
      </c>
      <c r="AF559" s="48"/>
      <c r="AG559" s="59"/>
      <c r="AH559" s="59"/>
      <c r="AI559" s="59"/>
      <c r="AJ559" s="59"/>
      <c r="AK559" s="59"/>
      <c r="AL559" s="8">
        <f>+'Gen Rev'!AI560-'Gen Exp'!AE559+'Gen Exp'!AI559-AK559</f>
        <v>308309</v>
      </c>
      <c r="AM559" s="21" t="str">
        <f>'Gen Rev'!A560</f>
        <v>Silverton</v>
      </c>
      <c r="AN559" s="67" t="str">
        <f t="shared" si="32"/>
        <v>Silverton</v>
      </c>
      <c r="AO559" s="67" t="b">
        <f t="shared" si="33"/>
        <v>1</v>
      </c>
    </row>
    <row r="560" spans="1:41" x14ac:dyDescent="0.2">
      <c r="A560" s="1" t="s">
        <v>381</v>
      </c>
      <c r="C560" s="1" t="s">
        <v>379</v>
      </c>
      <c r="E560" s="48">
        <v>6663</v>
      </c>
      <c r="F560" s="48"/>
      <c r="G560" s="48">
        <v>1000</v>
      </c>
      <c r="H560" s="48"/>
      <c r="I560" s="48">
        <v>0</v>
      </c>
      <c r="J560" s="48"/>
      <c r="K560" s="48">
        <v>0</v>
      </c>
      <c r="L560" s="48"/>
      <c r="M560" s="48">
        <v>0</v>
      </c>
      <c r="N560" s="48"/>
      <c r="O560" s="48">
        <v>0</v>
      </c>
      <c r="P560" s="48"/>
      <c r="Q560" s="48">
        <v>8405</v>
      </c>
      <c r="R560" s="48"/>
      <c r="S560" s="48">
        <v>0</v>
      </c>
      <c r="T560" s="48"/>
      <c r="U560" s="48">
        <v>0</v>
      </c>
      <c r="V560" s="48"/>
      <c r="W560" s="48">
        <v>0</v>
      </c>
      <c r="X560" s="48"/>
      <c r="Y560" s="48">
        <v>0</v>
      </c>
      <c r="Z560" s="48"/>
      <c r="AA560" s="48">
        <v>0</v>
      </c>
      <c r="AB560" s="48"/>
      <c r="AC560" s="48">
        <v>0</v>
      </c>
      <c r="AD560" s="48"/>
      <c r="AE560" s="48">
        <f t="shared" si="31"/>
        <v>16068</v>
      </c>
      <c r="AF560" s="48"/>
      <c r="AG560" s="59"/>
      <c r="AH560" s="59"/>
      <c r="AI560" s="59"/>
      <c r="AJ560" s="59"/>
      <c r="AK560" s="59"/>
      <c r="AL560" s="8">
        <f>+'Gen Rev'!AI561-'Gen Exp'!AE560+'Gen Exp'!AI560-AK560</f>
        <v>3867</v>
      </c>
      <c r="AM560" s="21" t="str">
        <f>'Gen Rev'!A561</f>
        <v>Sinking Spring</v>
      </c>
      <c r="AN560" s="67" t="str">
        <f t="shared" si="32"/>
        <v>Sinking Spring</v>
      </c>
      <c r="AO560" s="67" t="b">
        <f t="shared" si="33"/>
        <v>1</v>
      </c>
    </row>
    <row r="561" spans="1:41" x14ac:dyDescent="0.2">
      <c r="A561" s="1" t="s">
        <v>552</v>
      </c>
      <c r="C561" s="1" t="s">
        <v>547</v>
      </c>
      <c r="D561" s="6"/>
      <c r="E561" s="48">
        <v>314131</v>
      </c>
      <c r="F561" s="48"/>
      <c r="G561" s="48">
        <v>16901</v>
      </c>
      <c r="H561" s="48"/>
      <c r="I561" s="48">
        <v>61999</v>
      </c>
      <c r="J561" s="48"/>
      <c r="K561" s="48">
        <v>4714</v>
      </c>
      <c r="L561" s="48"/>
      <c r="M561" s="48">
        <v>0</v>
      </c>
      <c r="N561" s="48"/>
      <c r="O561" s="48">
        <v>0</v>
      </c>
      <c r="P561" s="48"/>
      <c r="Q561" s="48">
        <v>122887</v>
      </c>
      <c r="R561" s="48"/>
      <c r="S561" s="48">
        <v>0</v>
      </c>
      <c r="T561" s="48"/>
      <c r="U561" s="48">
        <v>0</v>
      </c>
      <c r="V561" s="48"/>
      <c r="W561" s="48">
        <v>0</v>
      </c>
      <c r="X561" s="48"/>
      <c r="Y561" s="48">
        <v>121444</v>
      </c>
      <c r="Z561" s="48"/>
      <c r="AA561" s="48">
        <v>0</v>
      </c>
      <c r="AB561" s="48"/>
      <c r="AC561" s="48">
        <v>0</v>
      </c>
      <c r="AD561" s="48"/>
      <c r="AE561" s="48">
        <f t="shared" si="31"/>
        <v>642076</v>
      </c>
      <c r="AF561" s="48"/>
      <c r="AG561" s="59"/>
      <c r="AH561" s="59"/>
      <c r="AI561" s="59"/>
      <c r="AJ561" s="59"/>
      <c r="AK561" s="59"/>
      <c r="AL561" s="8">
        <f>+'Gen Rev'!AI562-'Gen Exp'!AE561+'Gen Exp'!AI561-AK561</f>
        <v>112978</v>
      </c>
      <c r="AM561" s="21" t="str">
        <f>'Gen Rev'!A562</f>
        <v>Smithville</v>
      </c>
      <c r="AN561" s="67" t="str">
        <f t="shared" si="32"/>
        <v>Smithville</v>
      </c>
      <c r="AO561" s="67" t="b">
        <f t="shared" si="33"/>
        <v>1</v>
      </c>
    </row>
    <row r="562" spans="1:41" x14ac:dyDescent="0.2">
      <c r="A562" s="1" t="s">
        <v>809</v>
      </c>
      <c r="C562" s="1" t="s">
        <v>480</v>
      </c>
      <c r="E562" s="48">
        <v>11514.5</v>
      </c>
      <c r="F562" s="48"/>
      <c r="G562" s="48">
        <v>71.53</v>
      </c>
      <c r="H562" s="48"/>
      <c r="I562" s="48">
        <v>0</v>
      </c>
      <c r="J562" s="48"/>
      <c r="K562" s="48">
        <v>0</v>
      </c>
      <c r="L562" s="48"/>
      <c r="M562" s="48">
        <v>0</v>
      </c>
      <c r="N562" s="48"/>
      <c r="O562" s="48">
        <v>0</v>
      </c>
      <c r="P562" s="48"/>
      <c r="Q562" s="48">
        <v>18712.21</v>
      </c>
      <c r="R562" s="48"/>
      <c r="S562" s="48">
        <v>0</v>
      </c>
      <c r="T562" s="48"/>
      <c r="U562" s="48">
        <v>0</v>
      </c>
      <c r="V562" s="48"/>
      <c r="W562" s="48">
        <v>0</v>
      </c>
      <c r="X562" s="48"/>
      <c r="Y562" s="48">
        <v>0</v>
      </c>
      <c r="Z562" s="48"/>
      <c r="AA562" s="48">
        <v>0</v>
      </c>
      <c r="AB562" s="48"/>
      <c r="AC562" s="48">
        <v>0</v>
      </c>
      <c r="AD562" s="48"/>
      <c r="AE562" s="48">
        <f t="shared" si="31"/>
        <v>30298.239999999998</v>
      </c>
      <c r="AG562" s="55">
        <v>-7020.96</v>
      </c>
      <c r="AI562" s="55">
        <v>13074.86</v>
      </c>
      <c r="AK562" s="55">
        <v>6053.9</v>
      </c>
      <c r="AL562" s="8">
        <f>+'Gen Rev'!AI563-'Gen Exp'!AE562+'Gen Exp'!AI562-AK562</f>
        <v>0</v>
      </c>
      <c r="AM562" s="21" t="str">
        <f>'Gen Rev'!A563</f>
        <v>Somerville</v>
      </c>
      <c r="AN562" s="67" t="str">
        <f t="shared" ref="AN562:AN628" si="34">A562</f>
        <v>Somerville</v>
      </c>
      <c r="AO562" s="67" t="b">
        <f t="shared" ref="AO562:AO628" si="35">AM562=AN562</f>
        <v>1</v>
      </c>
    </row>
    <row r="563" spans="1:41" x14ac:dyDescent="0.2">
      <c r="A563" s="1" t="s">
        <v>250</v>
      </c>
      <c r="C563" s="1" t="s">
        <v>467</v>
      </c>
      <c r="E563" s="48">
        <v>286294.12</v>
      </c>
      <c r="F563" s="48"/>
      <c r="G563" s="48">
        <v>0</v>
      </c>
      <c r="H563" s="48"/>
      <c r="I563" s="48">
        <v>330.02</v>
      </c>
      <c r="J563" s="48"/>
      <c r="K563" s="48">
        <v>3498.16</v>
      </c>
      <c r="L563" s="48"/>
      <c r="M563" s="48">
        <v>114093.63</v>
      </c>
      <c r="N563" s="48"/>
      <c r="O563" s="48">
        <v>44.21</v>
      </c>
      <c r="P563" s="48"/>
      <c r="Q563" s="48">
        <v>170366.27</v>
      </c>
      <c r="R563" s="48"/>
      <c r="S563" s="48">
        <v>0</v>
      </c>
      <c r="T563" s="48"/>
      <c r="U563" s="48">
        <v>0</v>
      </c>
      <c r="V563" s="48"/>
      <c r="W563" s="48">
        <v>0</v>
      </c>
      <c r="X563" s="48"/>
      <c r="Y563" s="48">
        <v>0</v>
      </c>
      <c r="Z563" s="48"/>
      <c r="AA563" s="48">
        <v>0</v>
      </c>
      <c r="AB563" s="48"/>
      <c r="AC563" s="48">
        <v>723</v>
      </c>
      <c r="AD563" s="48"/>
      <c r="AE563" s="48">
        <f t="shared" si="31"/>
        <v>575349.41</v>
      </c>
      <c r="AG563" s="55">
        <v>68204.42</v>
      </c>
      <c r="AI563" s="55">
        <v>15189.7</v>
      </c>
      <c r="AK563" s="55">
        <v>83394.12</v>
      </c>
      <c r="AL563" s="8">
        <f>+'Gen Rev'!AI564-'Gen Exp'!AE563+'Gen Exp'!AI563-AK563</f>
        <v>0</v>
      </c>
      <c r="AM563" s="21" t="str">
        <f>'Gen Rev'!A564</f>
        <v>South Bloomfield</v>
      </c>
      <c r="AN563" s="67" t="str">
        <f t="shared" si="34"/>
        <v>South Bloomfield</v>
      </c>
      <c r="AO563" s="67" t="b">
        <f t="shared" si="35"/>
        <v>1</v>
      </c>
    </row>
    <row r="564" spans="1:41" x14ac:dyDescent="0.2">
      <c r="A564" s="1" t="s">
        <v>704</v>
      </c>
      <c r="C564" s="1" t="s">
        <v>274</v>
      </c>
      <c r="E564" s="48">
        <v>172917.43</v>
      </c>
      <c r="F564" s="48"/>
      <c r="G564" s="48">
        <v>0</v>
      </c>
      <c r="H564" s="48"/>
      <c r="I564" s="48">
        <v>0</v>
      </c>
      <c r="J564" s="48"/>
      <c r="K564" s="48">
        <v>0</v>
      </c>
      <c r="L564" s="48"/>
      <c r="M564" s="48">
        <v>0</v>
      </c>
      <c r="N564" s="48"/>
      <c r="O564" s="48">
        <v>1800</v>
      </c>
      <c r="P564" s="48"/>
      <c r="Q564" s="48">
        <v>389154.44</v>
      </c>
      <c r="R564" s="48"/>
      <c r="S564" s="48">
        <v>10404.11</v>
      </c>
      <c r="T564" s="48"/>
      <c r="U564" s="48">
        <v>0</v>
      </c>
      <c r="V564" s="48"/>
      <c r="W564" s="48">
        <v>0</v>
      </c>
      <c r="X564" s="48"/>
      <c r="Y564" s="48">
        <v>0</v>
      </c>
      <c r="Z564" s="48"/>
      <c r="AA564" s="48">
        <v>0</v>
      </c>
      <c r="AB564" s="48"/>
      <c r="AC564" s="48">
        <v>0</v>
      </c>
      <c r="AD564" s="48"/>
      <c r="AE564" s="48">
        <f t="shared" si="31"/>
        <v>574275.98</v>
      </c>
      <c r="AG564" s="55">
        <v>143029.07</v>
      </c>
      <c r="AI564" s="55">
        <v>301693.63</v>
      </c>
      <c r="AK564" s="55">
        <v>444722.7</v>
      </c>
      <c r="AL564" s="8">
        <f>+'Gen Rev'!AI565-'Gen Exp'!AE564+'Gen Exp'!AI564-AK564</f>
        <v>0</v>
      </c>
      <c r="AM564" s="21" t="str">
        <f>'Gen Rev'!A565</f>
        <v>South Charleston</v>
      </c>
      <c r="AN564" s="67" t="str">
        <f t="shared" si="34"/>
        <v>South Charleston</v>
      </c>
      <c r="AO564" s="67" t="b">
        <f t="shared" si="35"/>
        <v>1</v>
      </c>
    </row>
    <row r="565" spans="1:41" x14ac:dyDescent="0.2">
      <c r="A565" s="1" t="s">
        <v>542</v>
      </c>
      <c r="C565" s="1" t="s">
        <v>541</v>
      </c>
      <c r="E565" s="48">
        <v>574760.78</v>
      </c>
      <c r="F565" s="48"/>
      <c r="G565" s="48">
        <v>0</v>
      </c>
      <c r="H565" s="48"/>
      <c r="I565" s="48">
        <v>5748.05</v>
      </c>
      <c r="J565" s="48"/>
      <c r="K565" s="48">
        <v>0</v>
      </c>
      <c r="L565" s="48"/>
      <c r="M565" s="48">
        <v>68586.460000000006</v>
      </c>
      <c r="N565" s="48"/>
      <c r="O565" s="48">
        <v>0</v>
      </c>
      <c r="P565" s="48"/>
      <c r="Q565" s="48">
        <v>582455.31000000006</v>
      </c>
      <c r="R565" s="48"/>
      <c r="S565" s="48">
        <v>25597</v>
      </c>
      <c r="T565" s="48"/>
      <c r="U565" s="48">
        <v>0</v>
      </c>
      <c r="V565" s="48"/>
      <c r="W565" s="48">
        <v>0</v>
      </c>
      <c r="X565" s="48"/>
      <c r="Y565" s="48">
        <v>0</v>
      </c>
      <c r="Z565" s="48"/>
      <c r="AA565" s="48">
        <v>0</v>
      </c>
      <c r="AB565" s="48"/>
      <c r="AC565" s="48">
        <v>0</v>
      </c>
      <c r="AD565" s="48"/>
      <c r="AE565" s="48">
        <f t="shared" si="31"/>
        <v>1257147.6000000001</v>
      </c>
      <c r="AG565" s="55">
        <v>245314.59</v>
      </c>
      <c r="AI565" s="55">
        <v>1781021.36</v>
      </c>
      <c r="AK565" s="55">
        <v>2026335.95</v>
      </c>
      <c r="AL565" s="8">
        <f>+'Gen Rev'!AI566-'Gen Exp'!AE565+'Gen Exp'!AI565-AK565</f>
        <v>0</v>
      </c>
      <c r="AM565" s="21" t="str">
        <f>'Gen Rev'!A566</f>
        <v>South Lebanon</v>
      </c>
      <c r="AN565" s="67" t="str">
        <f t="shared" si="34"/>
        <v>South Lebanon</v>
      </c>
      <c r="AO565" s="67" t="b">
        <f t="shared" si="35"/>
        <v>1</v>
      </c>
    </row>
    <row r="566" spans="1:41" x14ac:dyDescent="0.2">
      <c r="A566" s="1" t="s">
        <v>120</v>
      </c>
      <c r="C566" s="1" t="s">
        <v>406</v>
      </c>
      <c r="E566" s="48">
        <v>322015.11</v>
      </c>
      <c r="F566" s="48"/>
      <c r="G566" s="48">
        <v>0</v>
      </c>
      <c r="H566" s="48"/>
      <c r="I566" s="48">
        <v>0</v>
      </c>
      <c r="J566" s="48"/>
      <c r="K566" s="48">
        <v>0</v>
      </c>
      <c r="L566" s="48"/>
      <c r="M566" s="48">
        <v>0</v>
      </c>
      <c r="N566" s="48"/>
      <c r="O566" s="48">
        <v>0</v>
      </c>
      <c r="P566" s="48"/>
      <c r="Q566" s="48">
        <v>67517.52</v>
      </c>
      <c r="R566" s="48"/>
      <c r="S566" s="48">
        <v>8168</v>
      </c>
      <c r="T566" s="48"/>
      <c r="U566" s="48">
        <v>0</v>
      </c>
      <c r="V566" s="48"/>
      <c r="W566" s="48">
        <v>0</v>
      </c>
      <c r="X566" s="48"/>
      <c r="Y566" s="48">
        <v>0</v>
      </c>
      <c r="Z566" s="48"/>
      <c r="AA566" s="48">
        <v>2500</v>
      </c>
      <c r="AB566" s="48"/>
      <c r="AC566" s="48">
        <v>0</v>
      </c>
      <c r="AD566" s="48"/>
      <c r="AE566" s="48">
        <f t="shared" si="31"/>
        <v>400200.63</v>
      </c>
      <c r="AG566" s="55">
        <v>29876.33</v>
      </c>
      <c r="AI566" s="55">
        <v>103233.39</v>
      </c>
      <c r="AK566" s="55">
        <v>133109.72</v>
      </c>
      <c r="AL566" s="8">
        <f>+'Gen Rev'!AI567-'Gen Exp'!AE566+'Gen Exp'!AI566-AK566</f>
        <v>0</v>
      </c>
      <c r="AM566" s="21" t="str">
        <f>'Gen Rev'!A567</f>
        <v>South Point</v>
      </c>
      <c r="AN566" s="67" t="str">
        <f t="shared" si="34"/>
        <v>South Point</v>
      </c>
      <c r="AO566" s="67" t="b">
        <f t="shared" si="35"/>
        <v>1</v>
      </c>
    </row>
    <row r="567" spans="1:41" x14ac:dyDescent="0.2">
      <c r="A567" s="1" t="s">
        <v>343</v>
      </c>
      <c r="C567" s="1" t="s">
        <v>342</v>
      </c>
      <c r="E567" s="48">
        <v>353729</v>
      </c>
      <c r="F567" s="48"/>
      <c r="G567" s="48">
        <v>0</v>
      </c>
      <c r="H567" s="48"/>
      <c r="I567" s="48">
        <v>0</v>
      </c>
      <c r="J567" s="48"/>
      <c r="K567" s="48">
        <v>208622</v>
      </c>
      <c r="L567" s="48"/>
      <c r="M567" s="48">
        <v>0</v>
      </c>
      <c r="N567" s="48"/>
      <c r="O567" s="48">
        <v>0</v>
      </c>
      <c r="P567" s="48"/>
      <c r="Q567" s="48">
        <v>533644</v>
      </c>
      <c r="R567" s="48"/>
      <c r="S567" s="48">
        <v>0</v>
      </c>
      <c r="T567" s="48"/>
      <c r="U567" s="48">
        <v>0</v>
      </c>
      <c r="V567" s="48"/>
      <c r="W567" s="48">
        <v>0</v>
      </c>
      <c r="X567" s="48"/>
      <c r="Y567" s="48">
        <v>1251400</v>
      </c>
      <c r="Z567" s="48"/>
      <c r="AA567" s="48">
        <v>0</v>
      </c>
      <c r="AB567" s="48"/>
      <c r="AC567" s="48">
        <v>0</v>
      </c>
      <c r="AD567" s="48"/>
      <c r="AE567" s="48">
        <f t="shared" si="31"/>
        <v>2347395</v>
      </c>
      <c r="AF567" s="48"/>
      <c r="AG567" s="59"/>
      <c r="AH567" s="59"/>
      <c r="AI567" s="59"/>
      <c r="AJ567" s="59"/>
      <c r="AK567" s="59"/>
      <c r="AL567" s="8">
        <f>+'Gen Rev'!AI568-'Gen Exp'!AE567+'Gen Exp'!AI567-AK567</f>
        <v>248874</v>
      </c>
      <c r="AM567" s="21" t="str">
        <f>'Gen Rev'!A568</f>
        <v>South Russell</v>
      </c>
      <c r="AN567" s="67" t="str">
        <f t="shared" si="34"/>
        <v>South Russell</v>
      </c>
      <c r="AO567" s="67" t="b">
        <f t="shared" si="35"/>
        <v>1</v>
      </c>
    </row>
    <row r="568" spans="1:41" x14ac:dyDescent="0.2">
      <c r="A568" s="1" t="s">
        <v>484</v>
      </c>
      <c r="C568" s="1" t="s">
        <v>485</v>
      </c>
      <c r="E568" s="48">
        <v>5813.89</v>
      </c>
      <c r="F568" s="48"/>
      <c r="G568" s="48">
        <v>0</v>
      </c>
      <c r="H568" s="48"/>
      <c r="I568" s="48">
        <v>0</v>
      </c>
      <c r="J568" s="48"/>
      <c r="K568" s="48">
        <v>0</v>
      </c>
      <c r="L568" s="48"/>
      <c r="M568" s="48">
        <v>0</v>
      </c>
      <c r="N568" s="48"/>
      <c r="O568" s="48">
        <v>0</v>
      </c>
      <c r="P568" s="48"/>
      <c r="Q568" s="48">
        <v>8753.02</v>
      </c>
      <c r="R568" s="48"/>
      <c r="S568" s="48">
        <v>0</v>
      </c>
      <c r="T568" s="48"/>
      <c r="U568" s="48">
        <v>0</v>
      </c>
      <c r="V568" s="48"/>
      <c r="W568" s="48">
        <v>0</v>
      </c>
      <c r="X568" s="48"/>
      <c r="Y568" s="48">
        <v>0</v>
      </c>
      <c r="Z568" s="48"/>
      <c r="AA568" s="48">
        <v>0</v>
      </c>
      <c r="AB568" s="48"/>
      <c r="AC568" s="48">
        <v>0</v>
      </c>
      <c r="AD568" s="48"/>
      <c r="AE568" s="48">
        <f t="shared" si="31"/>
        <v>14566.91</v>
      </c>
      <c r="AG568" s="55">
        <v>2684.48</v>
      </c>
      <c r="AI568" s="55">
        <v>88499.99</v>
      </c>
      <c r="AK568" s="55">
        <v>91184.47</v>
      </c>
      <c r="AL568" s="8">
        <f>+'Gen Rev'!AI569-'Gen Exp'!AE568+'Gen Exp'!AI568-AK568</f>
        <v>0</v>
      </c>
      <c r="AM568" s="21" t="str">
        <f>'Gen Rev'!A569</f>
        <v>South Salem</v>
      </c>
      <c r="AN568" s="67" t="str">
        <f t="shared" si="34"/>
        <v>South Salem</v>
      </c>
      <c r="AO568" s="67" t="b">
        <f t="shared" si="35"/>
        <v>1</v>
      </c>
    </row>
    <row r="569" spans="1:41" x14ac:dyDescent="0.2">
      <c r="A569" s="1" t="s">
        <v>133</v>
      </c>
      <c r="C569" s="1" t="s">
        <v>401</v>
      </c>
      <c r="E569" s="48">
        <v>4372.3</v>
      </c>
      <c r="F569" s="48"/>
      <c r="G569" s="48">
        <v>0</v>
      </c>
      <c r="H569" s="48"/>
      <c r="I569" s="48">
        <v>200</v>
      </c>
      <c r="J569" s="48"/>
      <c r="K569" s="48">
        <v>0</v>
      </c>
      <c r="L569" s="48"/>
      <c r="M569" s="48">
        <v>0</v>
      </c>
      <c r="N569" s="48"/>
      <c r="O569" s="48">
        <v>0</v>
      </c>
      <c r="P569" s="48"/>
      <c r="Q569" s="48">
        <v>36866.089999999997</v>
      </c>
      <c r="R569" s="48"/>
      <c r="S569" s="48">
        <v>0</v>
      </c>
      <c r="T569" s="48"/>
      <c r="U569" s="48">
        <v>0</v>
      </c>
      <c r="V569" s="48"/>
      <c r="W569" s="48">
        <v>0</v>
      </c>
      <c r="X569" s="48"/>
      <c r="Y569" s="48">
        <v>0</v>
      </c>
      <c r="Z569" s="48"/>
      <c r="AA569" s="48">
        <v>0</v>
      </c>
      <c r="AB569" s="48"/>
      <c r="AC569" s="48">
        <v>0</v>
      </c>
      <c r="AD569" s="48"/>
      <c r="AE569" s="48">
        <f t="shared" si="31"/>
        <v>41438.39</v>
      </c>
      <c r="AG569" s="55">
        <v>-15949.99</v>
      </c>
      <c r="AI569" s="55">
        <v>18015.07</v>
      </c>
      <c r="AK569" s="55">
        <v>2065.08</v>
      </c>
      <c r="AL569" s="8">
        <f>+'Gen Rev'!AI570-'Gen Exp'!AE569+'Gen Exp'!AI569-AK569</f>
        <v>0</v>
      </c>
      <c r="AM569" s="21" t="str">
        <f>'Gen Rev'!A570</f>
        <v>South Solon</v>
      </c>
      <c r="AN569" s="67" t="str">
        <f t="shared" si="34"/>
        <v>South Solon</v>
      </c>
      <c r="AO569" s="67" t="b">
        <f t="shared" si="35"/>
        <v>1</v>
      </c>
    </row>
    <row r="570" spans="1:41" x14ac:dyDescent="0.2">
      <c r="A570" s="1" t="s">
        <v>34</v>
      </c>
      <c r="C570" s="1" t="s">
        <v>274</v>
      </c>
      <c r="E570" s="48">
        <v>73989</v>
      </c>
      <c r="F570" s="48"/>
      <c r="G570" s="48">
        <v>0</v>
      </c>
      <c r="H570" s="48"/>
      <c r="I570" s="48">
        <v>1828.37</v>
      </c>
      <c r="J570" s="48"/>
      <c r="K570" s="48">
        <v>0</v>
      </c>
      <c r="L570" s="48"/>
      <c r="M570" s="48">
        <v>2697.4</v>
      </c>
      <c r="N570" s="48"/>
      <c r="O570" s="48">
        <v>0</v>
      </c>
      <c r="P570" s="48"/>
      <c r="Q570" s="48">
        <v>54551.91</v>
      </c>
      <c r="R570" s="48"/>
      <c r="S570" s="48">
        <v>0</v>
      </c>
      <c r="T570" s="48"/>
      <c r="U570" s="48">
        <v>0</v>
      </c>
      <c r="V570" s="48"/>
      <c r="W570" s="48">
        <v>0</v>
      </c>
      <c r="X570" s="48"/>
      <c r="Y570" s="48">
        <v>0</v>
      </c>
      <c r="Z570" s="48"/>
      <c r="AA570" s="48">
        <v>0</v>
      </c>
      <c r="AB570" s="48"/>
      <c r="AC570" s="48">
        <v>0</v>
      </c>
      <c r="AD570" s="48"/>
      <c r="AE570" s="48">
        <f t="shared" si="31"/>
        <v>133066.68</v>
      </c>
      <c r="AG570" s="55">
        <v>-73797.06</v>
      </c>
      <c r="AI570" s="55">
        <v>262736.99</v>
      </c>
      <c r="AK570" s="55">
        <v>188939.93</v>
      </c>
      <c r="AL570" s="8">
        <f>+'Gen Rev'!AI571-'Gen Exp'!AE570+'Gen Exp'!AI570-AK570</f>
        <v>0</v>
      </c>
      <c r="AM570" s="21" t="str">
        <f>'Gen Rev'!A571</f>
        <v>South Vienna</v>
      </c>
      <c r="AN570" s="67" t="str">
        <f t="shared" si="34"/>
        <v>South Vienna</v>
      </c>
      <c r="AO570" s="67" t="b">
        <f t="shared" si="35"/>
        <v>1</v>
      </c>
    </row>
    <row r="571" spans="1:41" x14ac:dyDescent="0.2">
      <c r="A571" s="1" t="s">
        <v>202</v>
      </c>
      <c r="C571" s="1" t="s">
        <v>491</v>
      </c>
      <c r="E571" s="48">
        <v>0</v>
      </c>
      <c r="F571" s="48"/>
      <c r="G571" s="48">
        <v>50</v>
      </c>
      <c r="H571" s="48"/>
      <c r="I571" s="48">
        <v>0</v>
      </c>
      <c r="J571" s="48"/>
      <c r="K571" s="48">
        <v>0</v>
      </c>
      <c r="L571" s="48"/>
      <c r="M571" s="48">
        <v>2307</v>
      </c>
      <c r="N571" s="48"/>
      <c r="O571" s="48">
        <v>0</v>
      </c>
      <c r="P571" s="48"/>
      <c r="Q571" s="48">
        <v>16785.8</v>
      </c>
      <c r="R571" s="48"/>
      <c r="S571" s="48">
        <v>0</v>
      </c>
      <c r="T571" s="48"/>
      <c r="U571" s="48">
        <v>0</v>
      </c>
      <c r="V571" s="48"/>
      <c r="W571" s="48">
        <v>0</v>
      </c>
      <c r="X571" s="48"/>
      <c r="Y571" s="48">
        <v>0</v>
      </c>
      <c r="Z571" s="48"/>
      <c r="AA571" s="48">
        <v>0</v>
      </c>
      <c r="AB571" s="48"/>
      <c r="AC571" s="48">
        <v>0</v>
      </c>
      <c r="AD571" s="48"/>
      <c r="AE571" s="48">
        <f t="shared" si="31"/>
        <v>19142.8</v>
      </c>
      <c r="AG571" s="55">
        <v>33633.53</v>
      </c>
      <c r="AI571" s="55">
        <v>6871.79</v>
      </c>
      <c r="AK571" s="55">
        <v>40505.32</v>
      </c>
      <c r="AL571" s="8">
        <f>+'Gen Rev'!AI572-'Gen Exp'!AE571+'Gen Exp'!AI571-AK571</f>
        <v>0</v>
      </c>
      <c r="AM571" s="21" t="str">
        <f>'Gen Rev'!A572</f>
        <v>South Webster</v>
      </c>
      <c r="AN571" s="67" t="str">
        <f t="shared" si="34"/>
        <v>South Webster</v>
      </c>
      <c r="AO571" s="67" t="b">
        <f t="shared" si="35"/>
        <v>1</v>
      </c>
    </row>
    <row r="572" spans="1:41" x14ac:dyDescent="0.2">
      <c r="A572" s="1" t="s">
        <v>855</v>
      </c>
      <c r="C572" s="1" t="s">
        <v>450</v>
      </c>
      <c r="E572" s="48">
        <v>161624.35</v>
      </c>
      <c r="F572" s="48"/>
      <c r="G572" s="48">
        <v>0</v>
      </c>
      <c r="H572" s="48"/>
      <c r="I572" s="48">
        <v>32010.62</v>
      </c>
      <c r="J572" s="48"/>
      <c r="K572" s="48">
        <v>0</v>
      </c>
      <c r="L572" s="48"/>
      <c r="M572" s="48">
        <v>0</v>
      </c>
      <c r="N572" s="48"/>
      <c r="O572" s="48">
        <v>2500</v>
      </c>
      <c r="P572" s="48"/>
      <c r="Q572" s="48">
        <v>159784.01</v>
      </c>
      <c r="R572" s="48"/>
      <c r="S572" s="48">
        <v>52748.15</v>
      </c>
      <c r="T572" s="48"/>
      <c r="U572" s="48">
        <v>3150</v>
      </c>
      <c r="V572" s="48"/>
      <c r="W572" s="48">
        <v>601.32000000000005</v>
      </c>
      <c r="X572" s="48"/>
      <c r="Y572" s="48">
        <v>104643.63</v>
      </c>
      <c r="Z572" s="48"/>
      <c r="AA572" s="48">
        <v>0</v>
      </c>
      <c r="AB572" s="48"/>
      <c r="AC572" s="48">
        <v>0</v>
      </c>
      <c r="AD572" s="48"/>
      <c r="AE572" s="48">
        <f t="shared" si="31"/>
        <v>517062.08</v>
      </c>
      <c r="AG572" s="55">
        <v>23568.74</v>
      </c>
      <c r="AI572" s="55">
        <v>112531.55</v>
      </c>
      <c r="AK572" s="55">
        <v>136100.29</v>
      </c>
      <c r="AL572" s="8">
        <f>+'Gen Rev'!AI573-'Gen Exp'!AE572+'Gen Exp'!AI572-AK572</f>
        <v>0</v>
      </c>
      <c r="AM572" s="21" t="str">
        <f>'Gen Rev'!A573</f>
        <v>South Zanesville</v>
      </c>
      <c r="AN572" s="67" t="str">
        <f t="shared" si="34"/>
        <v>South Zanesville</v>
      </c>
      <c r="AO572" s="67" t="b">
        <f t="shared" si="35"/>
        <v>1</v>
      </c>
    </row>
    <row r="573" spans="1:41" x14ac:dyDescent="0.2">
      <c r="A573" s="1" t="s">
        <v>710</v>
      </c>
      <c r="C573" s="1" t="s">
        <v>226</v>
      </c>
      <c r="E573" s="48">
        <v>3603.43</v>
      </c>
      <c r="F573" s="48"/>
      <c r="G573" s="48">
        <v>0</v>
      </c>
      <c r="H573" s="48"/>
      <c r="I573" s="48">
        <v>0</v>
      </c>
      <c r="J573" s="48"/>
      <c r="K573" s="48">
        <v>0</v>
      </c>
      <c r="L573" s="48"/>
      <c r="M573" s="48">
        <v>0</v>
      </c>
      <c r="N573" s="48"/>
      <c r="O573" s="48">
        <v>0</v>
      </c>
      <c r="P573" s="48"/>
      <c r="Q573" s="48">
        <v>17200.78</v>
      </c>
      <c r="R573" s="48"/>
      <c r="S573" s="48">
        <v>0</v>
      </c>
      <c r="T573" s="48"/>
      <c r="U573" s="48">
        <v>0</v>
      </c>
      <c r="V573" s="48"/>
      <c r="W573" s="48">
        <v>0</v>
      </c>
      <c r="X573" s="48"/>
      <c r="Y573" s="48">
        <v>0</v>
      </c>
      <c r="Z573" s="48"/>
      <c r="AA573" s="48">
        <v>0</v>
      </c>
      <c r="AB573" s="48"/>
      <c r="AC573" s="48">
        <v>0</v>
      </c>
      <c r="AD573" s="48"/>
      <c r="AE573" s="48">
        <f t="shared" si="31"/>
        <v>20804.21</v>
      </c>
      <c r="AG573" s="55">
        <v>19290.669999999998</v>
      </c>
      <c r="AI573" s="55">
        <v>35187.879999999997</v>
      </c>
      <c r="AK573" s="55">
        <v>54478.55</v>
      </c>
      <c r="AL573" s="8">
        <f>+'Gen Rev'!AI574-'Gen Exp'!AE573+'Gen Exp'!AI573-AK573</f>
        <v>0</v>
      </c>
      <c r="AM573" s="21" t="str">
        <f>'Gen Rev'!A574</f>
        <v>Sparta</v>
      </c>
      <c r="AN573" s="67" t="str">
        <f t="shared" si="34"/>
        <v>Sparta</v>
      </c>
      <c r="AO573" s="67" t="b">
        <f t="shared" si="35"/>
        <v>1</v>
      </c>
    </row>
    <row r="574" spans="1:41" x14ac:dyDescent="0.2">
      <c r="A574" s="1" t="s">
        <v>726</v>
      </c>
      <c r="C574" s="1" t="s">
        <v>823</v>
      </c>
      <c r="E574" s="48">
        <v>8172.77</v>
      </c>
      <c r="F574" s="48"/>
      <c r="G574" s="48">
        <v>0</v>
      </c>
      <c r="H574" s="48"/>
      <c r="I574" s="48">
        <v>23558.35</v>
      </c>
      <c r="J574" s="48"/>
      <c r="K574" s="48">
        <v>2770.8</v>
      </c>
      <c r="L574" s="48"/>
      <c r="M574" s="48">
        <v>519.96</v>
      </c>
      <c r="N574" s="48"/>
      <c r="O574" s="48">
        <v>0</v>
      </c>
      <c r="P574" s="48"/>
      <c r="Q574" s="48">
        <v>102297.83</v>
      </c>
      <c r="R574" s="48"/>
      <c r="S574" s="48">
        <v>0</v>
      </c>
      <c r="T574" s="48"/>
      <c r="U574" s="48">
        <v>0</v>
      </c>
      <c r="V574" s="48"/>
      <c r="W574" s="48">
        <v>0</v>
      </c>
      <c r="X574" s="48"/>
      <c r="Y574" s="48">
        <v>0</v>
      </c>
      <c r="Z574" s="48"/>
      <c r="AA574" s="48">
        <v>0</v>
      </c>
      <c r="AB574" s="48"/>
      <c r="AC574" s="48">
        <v>0</v>
      </c>
      <c r="AD574" s="48"/>
      <c r="AE574" s="48">
        <f t="shared" si="31"/>
        <v>137319.71</v>
      </c>
      <c r="AG574" s="55">
        <v>-51837.54</v>
      </c>
      <c r="AI574" s="55">
        <v>210140.22</v>
      </c>
      <c r="AK574" s="55">
        <v>158302.68</v>
      </c>
      <c r="AL574" s="8">
        <f>+'Gen Rev'!AI575-'Gen Exp'!AE574+'Gen Exp'!AI574-AK574</f>
        <v>0</v>
      </c>
      <c r="AM574" s="21" t="str">
        <f>'Gen Rev'!A575</f>
        <v>Spencer</v>
      </c>
      <c r="AN574" s="67" t="str">
        <f t="shared" si="34"/>
        <v>Spencer</v>
      </c>
      <c r="AO574" s="67" t="b">
        <f t="shared" si="35"/>
        <v>1</v>
      </c>
    </row>
    <row r="575" spans="1:41" x14ac:dyDescent="0.2">
      <c r="A575" s="1" t="s">
        <v>6</v>
      </c>
      <c r="C575" s="1" t="s">
        <v>651</v>
      </c>
      <c r="D575" s="67"/>
      <c r="E575" s="48">
        <v>356282.06</v>
      </c>
      <c r="F575" s="48"/>
      <c r="G575" s="48">
        <v>5070.79</v>
      </c>
      <c r="H575" s="48"/>
      <c r="I575" s="48">
        <v>2397.81</v>
      </c>
      <c r="J575" s="48"/>
      <c r="K575" s="48">
        <v>4000</v>
      </c>
      <c r="L575" s="48"/>
      <c r="M575" s="48">
        <v>0</v>
      </c>
      <c r="N575" s="48"/>
      <c r="O575" s="48">
        <v>0</v>
      </c>
      <c r="P575" s="48"/>
      <c r="Q575" s="48">
        <v>87652.21</v>
      </c>
      <c r="R575" s="48"/>
      <c r="S575" s="48">
        <v>0</v>
      </c>
      <c r="T575" s="48"/>
      <c r="U575" s="48">
        <v>0</v>
      </c>
      <c r="V575" s="48"/>
      <c r="W575" s="48">
        <v>0</v>
      </c>
      <c r="X575" s="48"/>
      <c r="Y575" s="48">
        <v>10000</v>
      </c>
      <c r="Z575" s="48"/>
      <c r="AA575" s="48">
        <v>0</v>
      </c>
      <c r="AB575" s="48"/>
      <c r="AC575" s="48">
        <v>0</v>
      </c>
      <c r="AD575" s="48"/>
      <c r="AE575" s="48">
        <f t="shared" si="31"/>
        <v>465402.87</v>
      </c>
      <c r="AG575" s="55">
        <v>-63609.66</v>
      </c>
      <c r="AI575" s="55">
        <v>158782.35</v>
      </c>
      <c r="AK575" s="55">
        <v>95172.69</v>
      </c>
      <c r="AL575" s="8">
        <f>+'Gen Rev'!AI576-'Gen Exp'!AE575+'Gen Exp'!AI575-AK575</f>
        <v>0</v>
      </c>
      <c r="AM575" s="21" t="str">
        <f>'Gen Rev'!A576</f>
        <v>Spencerville</v>
      </c>
      <c r="AN575" s="67" t="str">
        <f t="shared" si="34"/>
        <v>Spencerville</v>
      </c>
      <c r="AO575" s="67" t="b">
        <f t="shared" si="35"/>
        <v>1</v>
      </c>
    </row>
    <row r="576" spans="1:41" x14ac:dyDescent="0.2">
      <c r="A576" s="1" t="s">
        <v>80</v>
      </c>
      <c r="C576" s="1" t="s">
        <v>345</v>
      </c>
      <c r="E576" s="48">
        <v>10404.02</v>
      </c>
      <c r="F576" s="48"/>
      <c r="G576" s="48">
        <v>958.64</v>
      </c>
      <c r="H576" s="48"/>
      <c r="I576" s="48">
        <v>0</v>
      </c>
      <c r="J576" s="48"/>
      <c r="K576" s="48">
        <v>461.8</v>
      </c>
      <c r="L576" s="48"/>
      <c r="M576" s="48">
        <v>4890.55</v>
      </c>
      <c r="N576" s="48"/>
      <c r="O576" s="48">
        <v>77799.94</v>
      </c>
      <c r="P576" s="48"/>
      <c r="Q576" s="48">
        <v>29650.05</v>
      </c>
      <c r="R576" s="48"/>
      <c r="S576" s="48">
        <v>0</v>
      </c>
      <c r="T576" s="48"/>
      <c r="U576" s="48">
        <v>0</v>
      </c>
      <c r="V576" s="48"/>
      <c r="W576" s="48">
        <v>0</v>
      </c>
      <c r="X576" s="48"/>
      <c r="Y576" s="48">
        <v>0</v>
      </c>
      <c r="Z576" s="48"/>
      <c r="AA576" s="48">
        <v>0</v>
      </c>
      <c r="AB576" s="48"/>
      <c r="AC576" s="48">
        <v>0</v>
      </c>
      <c r="AD576" s="48"/>
      <c r="AE576" s="48">
        <f t="shared" si="31"/>
        <v>124165</v>
      </c>
      <c r="AG576" s="55">
        <v>26883.64</v>
      </c>
      <c r="AI576" s="55">
        <v>111813.48</v>
      </c>
      <c r="AK576" s="55">
        <v>138697.12</v>
      </c>
      <c r="AL576" s="8">
        <f>+'Gen Rev'!AI577-'Gen Exp'!AE576+'Gen Exp'!AI576-AK576</f>
        <v>0</v>
      </c>
      <c r="AM576" s="21" t="str">
        <f>'Gen Rev'!A577</f>
        <v>Spring Valley</v>
      </c>
      <c r="AN576" s="67" t="str">
        <f t="shared" si="34"/>
        <v>Spring Valley</v>
      </c>
      <c r="AO576" s="67" t="b">
        <f t="shared" si="35"/>
        <v>1</v>
      </c>
    </row>
    <row r="577" spans="1:41" ht="12.75" x14ac:dyDescent="0.2">
      <c r="A577" s="1" t="s">
        <v>837</v>
      </c>
      <c r="C577" s="1" t="s">
        <v>351</v>
      </c>
      <c r="D577" s="7"/>
      <c r="E577" s="48">
        <v>4680442</v>
      </c>
      <c r="F577" s="48"/>
      <c r="G577" s="48">
        <v>51292</v>
      </c>
      <c r="H577" s="48"/>
      <c r="I577" s="48">
        <v>141765</v>
      </c>
      <c r="J577" s="48"/>
      <c r="K577" s="48">
        <v>0</v>
      </c>
      <c r="L577" s="48"/>
      <c r="M577" s="48">
        <v>0</v>
      </c>
      <c r="N577" s="48"/>
      <c r="O577" s="48">
        <v>93617</v>
      </c>
      <c r="P577" s="48"/>
      <c r="Q577" s="48">
        <f>4503882+1959958</f>
        <v>6463840</v>
      </c>
      <c r="R577" s="48"/>
      <c r="S577" s="48">
        <v>0</v>
      </c>
      <c r="T577" s="48"/>
      <c r="U577" s="48">
        <v>0</v>
      </c>
      <c r="V577" s="48"/>
      <c r="W577" s="48">
        <v>0</v>
      </c>
      <c r="X577" s="48"/>
      <c r="Y577" s="48">
        <v>1025000</v>
      </c>
      <c r="Z577" s="48"/>
      <c r="AA577" s="48">
        <v>0</v>
      </c>
      <c r="AB577" s="48"/>
      <c r="AC577" s="48">
        <v>0</v>
      </c>
      <c r="AD577" s="48"/>
      <c r="AE577" s="48">
        <f t="shared" si="31"/>
        <v>12455956</v>
      </c>
      <c r="AF577" s="48"/>
      <c r="AG577" s="59"/>
      <c r="AH577" s="59"/>
      <c r="AI577" s="59"/>
      <c r="AJ577" s="59"/>
      <c r="AK577" s="59"/>
      <c r="AL577" s="8">
        <f>+'Gen Rev'!AI578-'Gen Exp'!AE577+'Gen Exp'!AI577-AK577</f>
        <v>96147</v>
      </c>
      <c r="AM577" s="21" t="str">
        <f>'Gen Rev'!A578</f>
        <v>St. Bernard</v>
      </c>
      <c r="AN577" s="67" t="str">
        <f t="shared" si="34"/>
        <v>St. Bernard</v>
      </c>
      <c r="AO577" s="67" t="b">
        <f t="shared" si="35"/>
        <v>1</v>
      </c>
    </row>
    <row r="578" spans="1:41" x14ac:dyDescent="0.2">
      <c r="A578" s="1" t="s">
        <v>854</v>
      </c>
      <c r="C578" s="1" t="s">
        <v>433</v>
      </c>
      <c r="E578" s="48">
        <v>214390.1</v>
      </c>
      <c r="F578" s="48"/>
      <c r="G578" s="48">
        <v>16300</v>
      </c>
      <c r="H578" s="48"/>
      <c r="I578" s="48">
        <v>0</v>
      </c>
      <c r="J578" s="48"/>
      <c r="K578" s="48">
        <v>0</v>
      </c>
      <c r="L578" s="48"/>
      <c r="M578" s="48">
        <v>0</v>
      </c>
      <c r="N578" s="48"/>
      <c r="O578" s="48">
        <v>38736.26</v>
      </c>
      <c r="P578" s="48"/>
      <c r="Q578" s="48">
        <v>10800.86</v>
      </c>
      <c r="R578" s="48"/>
      <c r="S578" s="48">
        <v>164027.17000000001</v>
      </c>
      <c r="T578" s="48"/>
      <c r="U578" s="48">
        <v>0</v>
      </c>
      <c r="V578" s="48"/>
      <c r="W578" s="48">
        <v>0</v>
      </c>
      <c r="X578" s="48"/>
      <c r="Y578" s="48">
        <v>0</v>
      </c>
      <c r="Z578" s="48"/>
      <c r="AA578" s="48">
        <v>0</v>
      </c>
      <c r="AB578" s="48"/>
      <c r="AC578" s="48">
        <v>0</v>
      </c>
      <c r="AD578" s="48"/>
      <c r="AE578" s="48">
        <f t="shared" si="31"/>
        <v>444254.39</v>
      </c>
      <c r="AG578" s="55">
        <v>-173818.15</v>
      </c>
      <c r="AI578" s="55">
        <v>388289.54</v>
      </c>
      <c r="AK578" s="55">
        <v>214471.39</v>
      </c>
      <c r="AL578" s="8">
        <f>+'Gen Rev'!AI579-'Gen Exp'!AE578+'Gen Exp'!AI578-AK578</f>
        <v>0</v>
      </c>
      <c r="AM578" s="21" t="str">
        <f>'Gen Rev'!A579</f>
        <v>St. Henry</v>
      </c>
      <c r="AN578" s="67" t="str">
        <f t="shared" si="34"/>
        <v>St. Henry</v>
      </c>
      <c r="AO578" s="67" t="b">
        <f t="shared" si="35"/>
        <v>1</v>
      </c>
    </row>
    <row r="579" spans="1:41" x14ac:dyDescent="0.2">
      <c r="A579" s="1" t="s">
        <v>412</v>
      </c>
      <c r="C579" s="1" t="s">
        <v>408</v>
      </c>
      <c r="E579" s="48">
        <v>31672</v>
      </c>
      <c r="F579" s="48"/>
      <c r="G579" s="48">
        <v>728</v>
      </c>
      <c r="H579" s="48"/>
      <c r="I579" s="48">
        <v>58612</v>
      </c>
      <c r="J579" s="48"/>
      <c r="K579" s="48">
        <v>843</v>
      </c>
      <c r="L579" s="48"/>
      <c r="M579" s="48">
        <v>0</v>
      </c>
      <c r="N579" s="48"/>
      <c r="O579" s="48">
        <v>0</v>
      </c>
      <c r="P579" s="48"/>
      <c r="Q579" s="48">
        <v>36519</v>
      </c>
      <c r="R579" s="48"/>
      <c r="S579" s="48">
        <v>0</v>
      </c>
      <c r="T579" s="48"/>
      <c r="U579" s="48">
        <v>0</v>
      </c>
      <c r="V579" s="48"/>
      <c r="W579" s="48">
        <v>0</v>
      </c>
      <c r="X579" s="48"/>
      <c r="Y579" s="48">
        <v>0</v>
      </c>
      <c r="Z579" s="48"/>
      <c r="AA579" s="48">
        <v>0</v>
      </c>
      <c r="AB579" s="48"/>
      <c r="AC579" s="48">
        <v>0</v>
      </c>
      <c r="AD579" s="48"/>
      <c r="AE579" s="48">
        <f t="shared" si="31"/>
        <v>128374</v>
      </c>
      <c r="AF579" s="48"/>
      <c r="AG579" s="59"/>
      <c r="AH579" s="59"/>
      <c r="AI579" s="59"/>
      <c r="AJ579" s="59"/>
      <c r="AK579" s="59"/>
      <c r="AL579" s="8">
        <f>+'Gen Rev'!AI580-'Gen Exp'!AE579+'Gen Exp'!AI579-AK579</f>
        <v>-5903</v>
      </c>
      <c r="AM579" s="21" t="str">
        <f>'Gen Rev'!A580</f>
        <v>St. Louisville</v>
      </c>
      <c r="AN579" s="67" t="str">
        <f t="shared" si="34"/>
        <v>St. Louisville</v>
      </c>
      <c r="AO579" s="67" t="b">
        <f t="shared" si="35"/>
        <v>1</v>
      </c>
    </row>
    <row r="580" spans="1:41" x14ac:dyDescent="0.2">
      <c r="A580" s="1" t="s">
        <v>32</v>
      </c>
      <c r="C580" s="1" t="s">
        <v>269</v>
      </c>
      <c r="E580" s="48">
        <v>258692.15</v>
      </c>
      <c r="F580" s="48"/>
      <c r="G580" s="48">
        <v>0</v>
      </c>
      <c r="H580" s="48"/>
      <c r="I580" s="48">
        <v>0</v>
      </c>
      <c r="J580" s="48"/>
      <c r="K580" s="48">
        <v>17.920000000000002</v>
      </c>
      <c r="L580" s="48"/>
      <c r="M580" s="48">
        <v>0</v>
      </c>
      <c r="N580" s="48"/>
      <c r="O580" s="48">
        <v>0</v>
      </c>
      <c r="P580" s="48"/>
      <c r="Q580" s="48">
        <v>143313.44</v>
      </c>
      <c r="R580" s="48"/>
      <c r="S580" s="48">
        <v>0</v>
      </c>
      <c r="T580" s="48"/>
      <c r="U580" s="48">
        <v>3815</v>
      </c>
      <c r="V580" s="48"/>
      <c r="W580" s="48">
        <v>0</v>
      </c>
      <c r="X580" s="48"/>
      <c r="Y580" s="48">
        <v>0</v>
      </c>
      <c r="Z580" s="48"/>
      <c r="AA580" s="48">
        <v>0</v>
      </c>
      <c r="AB580" s="48"/>
      <c r="AC580" s="48">
        <v>0</v>
      </c>
      <c r="AD580" s="48"/>
      <c r="AE580" s="48">
        <f t="shared" si="31"/>
        <v>405838.51</v>
      </c>
      <c r="AG580" s="55">
        <v>52350.22</v>
      </c>
      <c r="AI580" s="55">
        <v>58119.1</v>
      </c>
      <c r="AK580" s="55">
        <v>110469.32</v>
      </c>
      <c r="AL580" s="8">
        <f>+'Gen Rev'!AI581-'Gen Exp'!AE580+'Gen Exp'!AI580-AK580</f>
        <v>0</v>
      </c>
      <c r="AM580" s="21" t="str">
        <f>'Gen Rev'!A581</f>
        <v>St. Paris</v>
      </c>
      <c r="AN580" s="67" t="str">
        <f t="shared" si="34"/>
        <v>St. Paris</v>
      </c>
      <c r="AO580" s="67" t="b">
        <f t="shared" si="35"/>
        <v>1</v>
      </c>
    </row>
    <row r="581" spans="1:41" x14ac:dyDescent="0.2">
      <c r="A581" s="1" t="s">
        <v>444</v>
      </c>
      <c r="C581" s="1" t="s">
        <v>441</v>
      </c>
      <c r="E581" s="48">
        <v>3371</v>
      </c>
      <c r="F581" s="48"/>
      <c r="G581" s="48">
        <v>290</v>
      </c>
      <c r="H581" s="48"/>
      <c r="I581" s="48">
        <v>0</v>
      </c>
      <c r="J581" s="48"/>
      <c r="K581" s="48">
        <v>0</v>
      </c>
      <c r="L581" s="48"/>
      <c r="M581" s="48">
        <v>0</v>
      </c>
      <c r="N581" s="48"/>
      <c r="O581" s="48">
        <v>0</v>
      </c>
      <c r="P581" s="48"/>
      <c r="Q581" s="48">
        <v>3033</v>
      </c>
      <c r="R581" s="48"/>
      <c r="S581" s="48">
        <v>0</v>
      </c>
      <c r="T581" s="48"/>
      <c r="U581" s="48">
        <v>0</v>
      </c>
      <c r="V581" s="48"/>
      <c r="W581" s="48">
        <v>0</v>
      </c>
      <c r="X581" s="48"/>
      <c r="Y581" s="48">
        <v>0</v>
      </c>
      <c r="Z581" s="48"/>
      <c r="AA581" s="48">
        <v>0</v>
      </c>
      <c r="AB581" s="48"/>
      <c r="AC581" s="48">
        <v>0</v>
      </c>
      <c r="AD581" s="48"/>
      <c r="AE581" s="48">
        <f t="shared" ref="AE581:AE620" si="36">SUM(E581:AC581)</f>
        <v>6694</v>
      </c>
      <c r="AF581" s="48"/>
      <c r="AG581" s="59"/>
      <c r="AH581" s="59"/>
      <c r="AI581" s="59"/>
      <c r="AJ581" s="59"/>
      <c r="AK581" s="59"/>
      <c r="AL581" s="8">
        <f>+'Gen Rev'!AI582-'Gen Exp'!AE581+'Gen Exp'!AI581-AK581</f>
        <v>1495</v>
      </c>
      <c r="AM581" s="21" t="str">
        <f>'Gen Rev'!A582</f>
        <v>Stafford</v>
      </c>
      <c r="AN581" s="67" t="str">
        <f t="shared" si="34"/>
        <v>Stafford</v>
      </c>
      <c r="AO581" s="67" t="b">
        <f t="shared" si="35"/>
        <v>1</v>
      </c>
    </row>
    <row r="582" spans="1:41" x14ac:dyDescent="0.2">
      <c r="A582" s="1" t="s">
        <v>155</v>
      </c>
      <c r="C582" s="1" t="s">
        <v>765</v>
      </c>
      <c r="E582" s="48">
        <v>8369.94</v>
      </c>
      <c r="F582" s="48"/>
      <c r="G582" s="48">
        <v>4207.3</v>
      </c>
      <c r="H582" s="48"/>
      <c r="I582" s="48">
        <v>1487.27</v>
      </c>
      <c r="J582" s="48"/>
      <c r="K582" s="48">
        <v>0</v>
      </c>
      <c r="L582" s="48"/>
      <c r="M582" s="48">
        <v>380</v>
      </c>
      <c r="N582" s="48"/>
      <c r="O582" s="48">
        <v>0</v>
      </c>
      <c r="P582" s="48"/>
      <c r="Q582" s="48">
        <v>38231.440000000002</v>
      </c>
      <c r="R582" s="48"/>
      <c r="S582" s="48">
        <v>0</v>
      </c>
      <c r="T582" s="48"/>
      <c r="U582" s="48">
        <v>2954.05</v>
      </c>
      <c r="V582" s="48"/>
      <c r="W582" s="48">
        <v>623.80999999999995</v>
      </c>
      <c r="X582" s="48"/>
      <c r="Y582" s="48">
        <v>0</v>
      </c>
      <c r="Z582" s="48"/>
      <c r="AA582" s="48">
        <v>0</v>
      </c>
      <c r="AB582" s="48"/>
      <c r="AC582" s="48">
        <v>0</v>
      </c>
      <c r="AD582" s="48"/>
      <c r="AE582" s="48">
        <f t="shared" si="36"/>
        <v>56253.810000000005</v>
      </c>
      <c r="AG582" s="55">
        <v>-5918.81</v>
      </c>
      <c r="AI582" s="55">
        <v>11305.27</v>
      </c>
      <c r="AK582" s="55">
        <v>5386.46</v>
      </c>
      <c r="AL582" s="8">
        <f>+'Gen Rev'!AI583-'Gen Exp'!AE582+'Gen Exp'!AI582-AK582</f>
        <v>0</v>
      </c>
      <c r="AM582" s="21" t="str">
        <f>'Gen Rev'!A583</f>
        <v>Stockport</v>
      </c>
      <c r="AN582" s="67" t="str">
        <f t="shared" si="34"/>
        <v>Stockport</v>
      </c>
      <c r="AO582" s="67" t="b">
        <f t="shared" si="35"/>
        <v>1</v>
      </c>
    </row>
    <row r="583" spans="1:41" x14ac:dyDescent="0.2">
      <c r="A583" s="1" t="s">
        <v>527</v>
      </c>
      <c r="C583" s="1" t="s">
        <v>521</v>
      </c>
      <c r="E583" s="48">
        <v>1550.85</v>
      </c>
      <c r="F583" s="48"/>
      <c r="G583" s="48">
        <v>519</v>
      </c>
      <c r="H583" s="48"/>
      <c r="I583" s="48">
        <v>5227.92</v>
      </c>
      <c r="J583" s="48"/>
      <c r="K583" s="48">
        <v>40</v>
      </c>
      <c r="L583" s="48"/>
      <c r="M583" s="48">
        <v>0</v>
      </c>
      <c r="N583" s="48"/>
      <c r="O583" s="48">
        <v>0</v>
      </c>
      <c r="P583" s="48"/>
      <c r="Q583" s="48">
        <v>18721.14</v>
      </c>
      <c r="R583" s="48"/>
      <c r="S583" s="48">
        <v>0</v>
      </c>
      <c r="T583" s="48"/>
      <c r="U583" s="48">
        <v>0</v>
      </c>
      <c r="V583" s="48"/>
      <c r="W583" s="48">
        <v>0</v>
      </c>
      <c r="X583" s="48"/>
      <c r="Y583" s="48">
        <v>0</v>
      </c>
      <c r="Z583" s="48"/>
      <c r="AA583" s="48">
        <v>0</v>
      </c>
      <c r="AB583" s="48"/>
      <c r="AC583" s="48">
        <v>38.5</v>
      </c>
      <c r="AD583" s="48"/>
      <c r="AE583" s="48">
        <f t="shared" si="36"/>
        <v>26097.41</v>
      </c>
      <c r="AG583" s="55">
        <v>-609.02</v>
      </c>
      <c r="AI583" s="55">
        <v>4957.88</v>
      </c>
      <c r="AK583" s="55">
        <v>4348.8599999999997</v>
      </c>
      <c r="AL583" s="8">
        <f>+'Gen Rev'!AI584-'Gen Exp'!AE583+'Gen Exp'!AI583-AK583</f>
        <v>0</v>
      </c>
      <c r="AM583" s="21" t="str">
        <f>'Gen Rev'!A584</f>
        <v>Stone Creek</v>
      </c>
      <c r="AN583" s="67" t="str">
        <f t="shared" si="34"/>
        <v>Stone Creek</v>
      </c>
      <c r="AO583" s="67" t="b">
        <f t="shared" si="35"/>
        <v>1</v>
      </c>
    </row>
    <row r="584" spans="1:41" x14ac:dyDescent="0.2">
      <c r="A584" s="1" t="s">
        <v>810</v>
      </c>
      <c r="C584" s="1" t="s">
        <v>327</v>
      </c>
      <c r="E584" s="48">
        <v>3754.98</v>
      </c>
      <c r="F584" s="48"/>
      <c r="G584" s="48">
        <v>0</v>
      </c>
      <c r="H584" s="48"/>
      <c r="I584" s="48">
        <v>5494.91</v>
      </c>
      <c r="J584" s="48"/>
      <c r="K584" s="48">
        <v>0</v>
      </c>
      <c r="L584" s="48"/>
      <c r="M584" s="48">
        <v>0</v>
      </c>
      <c r="N584" s="48"/>
      <c r="O584" s="48">
        <v>0</v>
      </c>
      <c r="P584" s="48"/>
      <c r="Q584" s="48">
        <v>38173.870000000003</v>
      </c>
      <c r="R584" s="48"/>
      <c r="S584" s="48">
        <v>0</v>
      </c>
      <c r="T584" s="48"/>
      <c r="U584" s="48">
        <v>3341.87</v>
      </c>
      <c r="V584" s="48"/>
      <c r="W584" s="48">
        <v>1044.0899999999999</v>
      </c>
      <c r="X584" s="48"/>
      <c r="Y584" s="48">
        <v>0</v>
      </c>
      <c r="Z584" s="48"/>
      <c r="AA584" s="48">
        <v>0</v>
      </c>
      <c r="AB584" s="48"/>
      <c r="AC584" s="48">
        <v>0</v>
      </c>
      <c r="AD584" s="48"/>
      <c r="AE584" s="48">
        <f t="shared" si="36"/>
        <v>51809.72</v>
      </c>
      <c r="AG584" s="55">
        <v>-7178.34</v>
      </c>
      <c r="AI584" s="55">
        <v>41481.050000000003</v>
      </c>
      <c r="AK584" s="55">
        <v>34302.71</v>
      </c>
      <c r="AL584" s="8">
        <f>+'Gen Rev'!AI585-'Gen Exp'!AE584+'Gen Exp'!AI584-AK584</f>
        <v>0</v>
      </c>
      <c r="AM584" s="21" t="str">
        <f>'Gen Rev'!A585</f>
        <v>Stoutsville</v>
      </c>
      <c r="AN584" s="67" t="str">
        <f t="shared" si="34"/>
        <v>Stoutsville</v>
      </c>
      <c r="AO584" s="67" t="b">
        <f t="shared" si="35"/>
        <v>1</v>
      </c>
    </row>
    <row r="585" spans="1:41" x14ac:dyDescent="0.2">
      <c r="A585" s="1" t="s">
        <v>528</v>
      </c>
      <c r="C585" s="1" t="s">
        <v>521</v>
      </c>
      <c r="E585" s="48">
        <v>380253</v>
      </c>
      <c r="F585" s="48"/>
      <c r="G585" s="48">
        <v>1832</v>
      </c>
      <c r="H585" s="48"/>
      <c r="I585" s="48">
        <v>0</v>
      </c>
      <c r="J585" s="48"/>
      <c r="K585" s="48">
        <v>4645</v>
      </c>
      <c r="L585" s="48"/>
      <c r="M585" s="48">
        <v>87330</v>
      </c>
      <c r="N585" s="48"/>
      <c r="O585" s="48">
        <v>0</v>
      </c>
      <c r="P585" s="48"/>
      <c r="Q585" s="48">
        <v>241549</v>
      </c>
      <c r="R585" s="48"/>
      <c r="S585" s="48">
        <v>2857</v>
      </c>
      <c r="T585" s="48"/>
      <c r="U585" s="48">
        <v>0</v>
      </c>
      <c r="V585" s="48"/>
      <c r="W585" s="48">
        <v>0</v>
      </c>
      <c r="X585" s="48"/>
      <c r="Y585" s="48">
        <v>423487</v>
      </c>
      <c r="Z585" s="48"/>
      <c r="AA585" s="48">
        <v>0</v>
      </c>
      <c r="AB585" s="48"/>
      <c r="AC585" s="48">
        <v>15744</v>
      </c>
      <c r="AD585" s="48"/>
      <c r="AE585" s="48">
        <f t="shared" si="36"/>
        <v>1157697</v>
      </c>
      <c r="AF585" s="48"/>
      <c r="AG585" s="59"/>
      <c r="AH585" s="59"/>
      <c r="AI585" s="59"/>
      <c r="AJ585" s="59"/>
      <c r="AK585" s="59"/>
      <c r="AL585" s="8">
        <f>+'Gen Rev'!AI586-'Gen Exp'!AE585+'Gen Exp'!AI585-AK585</f>
        <v>-28202</v>
      </c>
      <c r="AM585" s="21" t="str">
        <f>'Gen Rev'!A586</f>
        <v>Strasburg</v>
      </c>
      <c r="AN585" s="67" t="str">
        <f t="shared" si="34"/>
        <v>Strasburg</v>
      </c>
      <c r="AO585" s="67" t="b">
        <f t="shared" si="35"/>
        <v>1</v>
      </c>
    </row>
    <row r="586" spans="1:41" x14ac:dyDescent="0.2">
      <c r="A586" s="1" t="s">
        <v>393</v>
      </c>
      <c r="C586" s="1" t="s">
        <v>390</v>
      </c>
      <c r="E586" s="48">
        <v>110962</v>
      </c>
      <c r="F586" s="48"/>
      <c r="G586" s="48">
        <v>20289</v>
      </c>
      <c r="H586" s="48"/>
      <c r="I586" s="48">
        <v>282130</v>
      </c>
      <c r="J586" s="48"/>
      <c r="K586" s="48">
        <v>0</v>
      </c>
      <c r="L586" s="48"/>
      <c r="M586" s="48">
        <v>143337</v>
      </c>
      <c r="N586" s="48"/>
      <c r="O586" s="48">
        <v>130324</v>
      </c>
      <c r="P586" s="48"/>
      <c r="Q586" s="48">
        <v>1078474</v>
      </c>
      <c r="R586" s="48"/>
      <c r="S586" s="48">
        <v>0</v>
      </c>
      <c r="T586" s="48"/>
      <c r="U586" s="48">
        <v>0</v>
      </c>
      <c r="V586" s="48"/>
      <c r="W586" s="48">
        <v>0</v>
      </c>
      <c r="X586" s="48"/>
      <c r="Y586" s="48">
        <v>8172</v>
      </c>
      <c r="Z586" s="48"/>
      <c r="AA586" s="48">
        <v>0</v>
      </c>
      <c r="AB586" s="48"/>
      <c r="AC586" s="48">
        <v>0</v>
      </c>
      <c r="AD586" s="48"/>
      <c r="AE586" s="48">
        <f t="shared" si="36"/>
        <v>1773688</v>
      </c>
      <c r="AF586" s="48"/>
      <c r="AG586" s="59"/>
      <c r="AH586" s="59"/>
      <c r="AI586" s="59"/>
      <c r="AJ586" s="59"/>
      <c r="AK586" s="59"/>
      <c r="AL586" s="8">
        <f>+'Gen Rev'!AI587-'Gen Exp'!AE586+'Gen Exp'!AI586-AK586</f>
        <v>-584698</v>
      </c>
      <c r="AM586" s="21" t="str">
        <f>'Gen Rev'!A587</f>
        <v>Stratton</v>
      </c>
      <c r="AN586" s="67" t="str">
        <f t="shared" si="34"/>
        <v>Stratton</v>
      </c>
      <c r="AO586" s="67" t="b">
        <f t="shared" si="35"/>
        <v>1</v>
      </c>
    </row>
    <row r="587" spans="1:41" x14ac:dyDescent="0.2">
      <c r="A587" s="1" t="s">
        <v>556</v>
      </c>
      <c r="C587" s="1" t="s">
        <v>554</v>
      </c>
      <c r="E587" s="48">
        <v>244062.57</v>
      </c>
      <c r="F587" s="48"/>
      <c r="G587" s="48">
        <v>1767.1</v>
      </c>
      <c r="H587" s="48"/>
      <c r="I587" s="48">
        <v>0</v>
      </c>
      <c r="J587" s="48"/>
      <c r="K587" s="48">
        <v>0</v>
      </c>
      <c r="L587" s="48"/>
      <c r="M587" s="48">
        <v>441.2</v>
      </c>
      <c r="N587" s="48"/>
      <c r="O587" s="48">
        <v>0</v>
      </c>
      <c r="P587" s="48"/>
      <c r="Q587" s="48">
        <v>174969.36</v>
      </c>
      <c r="R587" s="48"/>
      <c r="S587" s="48">
        <v>1000</v>
      </c>
      <c r="T587" s="48"/>
      <c r="U587" s="48">
        <v>0</v>
      </c>
      <c r="V587" s="48"/>
      <c r="W587" s="48">
        <v>0</v>
      </c>
      <c r="X587" s="48"/>
      <c r="Y587" s="48">
        <v>0</v>
      </c>
      <c r="Z587" s="48"/>
      <c r="AA587" s="48">
        <v>0</v>
      </c>
      <c r="AB587" s="48"/>
      <c r="AC587" s="48">
        <v>0</v>
      </c>
      <c r="AD587" s="48"/>
      <c r="AE587" s="48">
        <f t="shared" si="36"/>
        <v>422240.23</v>
      </c>
      <c r="AG587" s="55">
        <v>-38868.99</v>
      </c>
      <c r="AI587" s="55">
        <v>208007.75</v>
      </c>
      <c r="AK587" s="55">
        <v>169138.76</v>
      </c>
      <c r="AL587" s="8">
        <f>+'Gen Rev'!AI588-'Gen Exp'!AE587+'Gen Exp'!AI587-AK587</f>
        <v>0</v>
      </c>
      <c r="AM587" s="21" t="str">
        <f>'Gen Rev'!A588</f>
        <v>Stryker</v>
      </c>
      <c r="AN587" s="67" t="str">
        <f t="shared" si="34"/>
        <v>Stryker</v>
      </c>
      <c r="AO587" s="67" t="b">
        <f t="shared" si="35"/>
        <v>1</v>
      </c>
    </row>
    <row r="588" spans="1:41" x14ac:dyDescent="0.2">
      <c r="A588" s="1" t="s">
        <v>181</v>
      </c>
      <c r="C588" s="1" t="s">
        <v>241</v>
      </c>
      <c r="E588" s="48">
        <v>23598.07</v>
      </c>
      <c r="F588" s="48"/>
      <c r="G588" s="48">
        <v>580</v>
      </c>
      <c r="H588" s="48"/>
      <c r="I588" s="48">
        <v>0</v>
      </c>
      <c r="J588" s="48"/>
      <c r="K588" s="48">
        <v>23800.39</v>
      </c>
      <c r="L588" s="48"/>
      <c r="M588" s="48">
        <v>24486</v>
      </c>
      <c r="N588" s="48"/>
      <c r="O588" s="48">
        <v>15364.16</v>
      </c>
      <c r="P588" s="48"/>
      <c r="Q588" s="48">
        <v>29478.04</v>
      </c>
      <c r="R588" s="48"/>
      <c r="S588" s="48">
        <v>0</v>
      </c>
      <c r="T588" s="48"/>
      <c r="U588" s="48">
        <v>0</v>
      </c>
      <c r="V588" s="48"/>
      <c r="W588" s="48">
        <v>0</v>
      </c>
      <c r="X588" s="48"/>
      <c r="Y588" s="48">
        <v>0</v>
      </c>
      <c r="Z588" s="48"/>
      <c r="AA588" s="48">
        <v>0</v>
      </c>
      <c r="AB588" s="48"/>
      <c r="AC588" s="48">
        <v>0</v>
      </c>
      <c r="AD588" s="48"/>
      <c r="AE588" s="48">
        <f t="shared" si="36"/>
        <v>117306.66</v>
      </c>
      <c r="AG588" s="55">
        <v>-22850.720000000001</v>
      </c>
      <c r="AI588" s="55">
        <v>185073.47</v>
      </c>
      <c r="AK588" s="55">
        <v>162222.75</v>
      </c>
      <c r="AL588" s="8">
        <f>+'Gen Rev'!AI589-'Gen Exp'!AE588+'Gen Exp'!AI588-AK588</f>
        <v>0</v>
      </c>
      <c r="AM588" s="21" t="str">
        <f>'Gen Rev'!A589</f>
        <v>Sugar Bush Knolls</v>
      </c>
      <c r="AN588" s="67" t="str">
        <f t="shared" si="34"/>
        <v>Sugar Bush Knolls</v>
      </c>
      <c r="AO588" s="67" t="b">
        <f t="shared" si="35"/>
        <v>1</v>
      </c>
    </row>
    <row r="589" spans="1:41" x14ac:dyDescent="0.2">
      <c r="A589" s="1" t="s">
        <v>61</v>
      </c>
      <c r="C589" s="1" t="s">
        <v>327</v>
      </c>
      <c r="E589" s="48">
        <v>48078.41</v>
      </c>
      <c r="F589" s="48"/>
      <c r="G589" s="48">
        <v>239.46</v>
      </c>
      <c r="H589" s="48"/>
      <c r="I589" s="48">
        <v>496.16</v>
      </c>
      <c r="J589" s="48"/>
      <c r="K589" s="48">
        <v>7758.45</v>
      </c>
      <c r="L589" s="48"/>
      <c r="M589" s="48">
        <v>0</v>
      </c>
      <c r="N589" s="48"/>
      <c r="O589" s="48">
        <v>0</v>
      </c>
      <c r="P589" s="48"/>
      <c r="Q589" s="48">
        <v>66204.38</v>
      </c>
      <c r="R589" s="48"/>
      <c r="S589" s="48">
        <v>7000</v>
      </c>
      <c r="T589" s="48"/>
      <c r="U589" s="48">
        <v>0</v>
      </c>
      <c r="V589" s="48"/>
      <c r="W589" s="48">
        <v>0</v>
      </c>
      <c r="X589" s="48"/>
      <c r="Y589" s="48">
        <v>7900</v>
      </c>
      <c r="Z589" s="48"/>
      <c r="AA589" s="48">
        <v>0</v>
      </c>
      <c r="AB589" s="48"/>
      <c r="AC589" s="48">
        <v>0</v>
      </c>
      <c r="AD589" s="48"/>
      <c r="AE589" s="48">
        <f t="shared" si="36"/>
        <v>137676.86000000002</v>
      </c>
      <c r="AG589" s="55">
        <v>20179.13</v>
      </c>
      <c r="AI589" s="55">
        <v>161826.18</v>
      </c>
      <c r="AK589" s="55">
        <v>182005.31</v>
      </c>
      <c r="AL589" s="8">
        <f>+'Gen Rev'!AI590-'Gen Exp'!AE589+'Gen Exp'!AI589-AK589</f>
        <v>0</v>
      </c>
      <c r="AM589" s="21" t="str">
        <f>'Gen Rev'!A590</f>
        <v>Sugar Grove</v>
      </c>
      <c r="AN589" s="67" t="str">
        <f t="shared" si="34"/>
        <v>Sugar Grove</v>
      </c>
      <c r="AO589" s="67" t="b">
        <f t="shared" si="35"/>
        <v>1</v>
      </c>
    </row>
    <row r="590" spans="1:41" x14ac:dyDescent="0.2">
      <c r="A590" s="1" t="s">
        <v>529</v>
      </c>
      <c r="C590" s="1" t="s">
        <v>521</v>
      </c>
      <c r="E590" s="48">
        <v>472058</v>
      </c>
      <c r="F590" s="48"/>
      <c r="G590" s="48">
        <v>2300</v>
      </c>
      <c r="H590" s="48"/>
      <c r="I590" s="48">
        <v>18424</v>
      </c>
      <c r="J590" s="48"/>
      <c r="K590" s="48">
        <v>10094</v>
      </c>
      <c r="L590" s="48"/>
      <c r="M590" s="48">
        <v>123020</v>
      </c>
      <c r="N590" s="48"/>
      <c r="O590" s="48">
        <v>3713</v>
      </c>
      <c r="P590" s="48"/>
      <c r="Q590" s="48">
        <v>275908</v>
      </c>
      <c r="R590" s="48"/>
      <c r="S590" s="48">
        <v>390069</v>
      </c>
      <c r="T590" s="48"/>
      <c r="U590" s="48">
        <v>0</v>
      </c>
      <c r="V590" s="48"/>
      <c r="W590" s="48">
        <v>70294</v>
      </c>
      <c r="X590" s="48"/>
      <c r="Y590" s="48">
        <v>177742</v>
      </c>
      <c r="Z590" s="48"/>
      <c r="AA590" s="48">
        <v>0</v>
      </c>
      <c r="AB590" s="48"/>
      <c r="AC590" s="48">
        <v>0</v>
      </c>
      <c r="AD590" s="48"/>
      <c r="AE590" s="48">
        <f t="shared" si="36"/>
        <v>1543622</v>
      </c>
      <c r="AF590" s="48"/>
      <c r="AG590" s="59"/>
      <c r="AH590" s="59"/>
      <c r="AI590" s="59"/>
      <c r="AJ590" s="59"/>
      <c r="AK590" s="59"/>
      <c r="AL590" s="8">
        <f>+'Gen Rev'!AI591-'Gen Exp'!AE590+'Gen Exp'!AI590-AK590</f>
        <v>-200587</v>
      </c>
      <c r="AM590" s="21" t="str">
        <f>'Gen Rev'!A591</f>
        <v>Sugarcreek</v>
      </c>
      <c r="AN590" s="67" t="str">
        <f t="shared" si="34"/>
        <v>Sugarcreek</v>
      </c>
      <c r="AO590" s="67" t="b">
        <f t="shared" si="35"/>
        <v>1</v>
      </c>
    </row>
    <row r="591" spans="1:41" x14ac:dyDescent="0.2"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59"/>
      <c r="AH591" s="59"/>
      <c r="AI591" s="59"/>
      <c r="AJ591" s="59"/>
      <c r="AK591" s="59"/>
      <c r="AL591" s="8"/>
      <c r="AM591" s="21"/>
      <c r="AN591" s="67"/>
      <c r="AO591" s="67"/>
    </row>
    <row r="592" spans="1:41" ht="12.75" x14ac:dyDescent="0.2"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88" t="s">
        <v>733</v>
      </c>
      <c r="AF592" s="48"/>
      <c r="AG592" s="59"/>
      <c r="AH592" s="59"/>
      <c r="AI592" s="59"/>
      <c r="AJ592" s="59"/>
      <c r="AK592" s="59"/>
      <c r="AL592" s="8"/>
      <c r="AM592" s="21"/>
      <c r="AN592" s="67"/>
      <c r="AO592" s="67"/>
    </row>
    <row r="593" spans="1:41" x14ac:dyDescent="0.2"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59"/>
      <c r="AH593" s="59"/>
      <c r="AI593" s="59"/>
      <c r="AJ593" s="59"/>
      <c r="AK593" s="59"/>
      <c r="AL593" s="8"/>
      <c r="AM593" s="21"/>
      <c r="AN593" s="67"/>
      <c r="AO593" s="67"/>
    </row>
    <row r="594" spans="1:41" x14ac:dyDescent="0.2">
      <c r="A594" s="1" t="s">
        <v>164</v>
      </c>
      <c r="C594" s="1" t="s">
        <v>455</v>
      </c>
      <c r="E594" s="68">
        <v>5232.26</v>
      </c>
      <c r="F594" s="48"/>
      <c r="G594" s="68">
        <v>0</v>
      </c>
      <c r="H594" s="68"/>
      <c r="I594" s="68">
        <v>8281.6200000000008</v>
      </c>
      <c r="J594" s="68"/>
      <c r="K594" s="68">
        <v>0</v>
      </c>
      <c r="L594" s="68"/>
      <c r="M594" s="68">
        <v>729.1</v>
      </c>
      <c r="N594" s="68"/>
      <c r="O594" s="68">
        <v>0</v>
      </c>
      <c r="P594" s="68"/>
      <c r="Q594" s="68">
        <v>14420.91</v>
      </c>
      <c r="R594" s="68"/>
      <c r="S594" s="68">
        <v>0</v>
      </c>
      <c r="T594" s="68"/>
      <c r="U594" s="68">
        <v>0</v>
      </c>
      <c r="V594" s="68"/>
      <c r="W594" s="68">
        <v>0</v>
      </c>
      <c r="X594" s="68"/>
      <c r="Y594" s="68">
        <v>0</v>
      </c>
      <c r="Z594" s="68"/>
      <c r="AA594" s="68">
        <v>0</v>
      </c>
      <c r="AB594" s="68"/>
      <c r="AC594" s="68">
        <v>28.8</v>
      </c>
      <c r="AD594" s="68"/>
      <c r="AE594" s="68">
        <f t="shared" si="36"/>
        <v>28692.69</v>
      </c>
      <c r="AG594" s="55">
        <v>44170.26</v>
      </c>
      <c r="AI594" s="55">
        <v>9211.76</v>
      </c>
      <c r="AK594" s="55">
        <v>53382.02</v>
      </c>
      <c r="AL594" s="8">
        <f>+'Gen Rev'!AI592-'Gen Exp'!AE594+'Gen Exp'!AI594-AK594</f>
        <v>0</v>
      </c>
      <c r="AM594" s="21" t="str">
        <f>'Gen Rev'!A592</f>
        <v>Summerfield</v>
      </c>
      <c r="AN594" s="67" t="str">
        <f t="shared" si="34"/>
        <v>Summerfield</v>
      </c>
      <c r="AO594" s="67" t="b">
        <f t="shared" si="35"/>
        <v>1</v>
      </c>
    </row>
    <row r="595" spans="1:41" x14ac:dyDescent="0.2">
      <c r="A595" s="1" t="s">
        <v>45</v>
      </c>
      <c r="C595" s="1" t="s">
        <v>283</v>
      </c>
      <c r="E595" s="48">
        <v>4448.71</v>
      </c>
      <c r="F595" s="48"/>
      <c r="G595" s="48">
        <v>0</v>
      </c>
      <c r="H595" s="48"/>
      <c r="I595" s="48">
        <v>0</v>
      </c>
      <c r="J595" s="48"/>
      <c r="K595" s="48">
        <v>80</v>
      </c>
      <c r="L595" s="48"/>
      <c r="M595" s="48">
        <v>6476.71</v>
      </c>
      <c r="N595" s="48"/>
      <c r="O595" s="48">
        <v>0</v>
      </c>
      <c r="P595" s="48"/>
      <c r="Q595" s="48">
        <v>8576.33</v>
      </c>
      <c r="R595" s="48"/>
      <c r="S595" s="48">
        <v>0</v>
      </c>
      <c r="T595" s="48"/>
      <c r="U595" s="48">
        <v>0</v>
      </c>
      <c r="V595" s="48"/>
      <c r="W595" s="48">
        <v>0</v>
      </c>
      <c r="X595" s="48"/>
      <c r="Y595" s="48">
        <v>0</v>
      </c>
      <c r="Z595" s="48"/>
      <c r="AA595" s="48">
        <v>0</v>
      </c>
      <c r="AB595" s="48"/>
      <c r="AC595" s="48">
        <v>0</v>
      </c>
      <c r="AD595" s="48"/>
      <c r="AE595" s="48">
        <f t="shared" si="36"/>
        <v>19581.75</v>
      </c>
      <c r="AG595" s="55">
        <v>-3979.01</v>
      </c>
      <c r="AI595" s="55">
        <v>9200.48</v>
      </c>
      <c r="AK595" s="55">
        <v>5221.47</v>
      </c>
      <c r="AL595" s="8">
        <f>+'Gen Rev'!AI593-'Gen Exp'!AE595+'Gen Exp'!AI595-AK595</f>
        <v>0</v>
      </c>
      <c r="AM595" s="21" t="str">
        <f>'Gen Rev'!A593</f>
        <v>Summitville</v>
      </c>
      <c r="AN595" s="67" t="str">
        <f t="shared" si="34"/>
        <v>Summitville</v>
      </c>
      <c r="AO595" s="67" t="b">
        <f t="shared" si="35"/>
        <v>1</v>
      </c>
    </row>
    <row r="596" spans="1:41" x14ac:dyDescent="0.2">
      <c r="A596" s="1" t="s">
        <v>323</v>
      </c>
      <c r="C596" s="1" t="s">
        <v>320</v>
      </c>
      <c r="E596" s="48">
        <v>1088472</v>
      </c>
      <c r="F596" s="48"/>
      <c r="G596" s="48">
        <v>142879</v>
      </c>
      <c r="H596" s="48"/>
      <c r="I596" s="48">
        <v>0</v>
      </c>
      <c r="J596" s="48"/>
      <c r="K596" s="48">
        <v>194523</v>
      </c>
      <c r="L596" s="48"/>
      <c r="M596" s="48">
        <v>0</v>
      </c>
      <c r="N596" s="48"/>
      <c r="O596" s="48">
        <v>519169</v>
      </c>
      <c r="P596" s="48"/>
      <c r="Q596" s="48">
        <v>587674</v>
      </c>
      <c r="R596" s="48"/>
      <c r="S596" s="48">
        <v>0</v>
      </c>
      <c r="T596" s="48"/>
      <c r="U596" s="48">
        <v>1226100</v>
      </c>
      <c r="V596" s="48"/>
      <c r="W596" s="48">
        <v>22926</v>
      </c>
      <c r="X596" s="48"/>
      <c r="Y596" s="48">
        <v>27400</v>
      </c>
      <c r="Z596" s="48"/>
      <c r="AA596" s="48">
        <v>0</v>
      </c>
      <c r="AB596" s="48"/>
      <c r="AC596" s="48">
        <v>0</v>
      </c>
      <c r="AD596" s="48"/>
      <c r="AE596" s="48">
        <f t="shared" si="36"/>
        <v>3809143</v>
      </c>
      <c r="AF596" s="48"/>
      <c r="AG596" s="59"/>
      <c r="AH596" s="59"/>
      <c r="AI596" s="59"/>
      <c r="AJ596" s="59"/>
      <c r="AK596" s="59"/>
      <c r="AL596" s="8">
        <f>+'Gen Rev'!AI594-'Gen Exp'!AE596+'Gen Exp'!AI596-AK596</f>
        <v>449065</v>
      </c>
      <c r="AM596" s="21" t="str">
        <f>'Gen Rev'!A594</f>
        <v>Sunbury</v>
      </c>
      <c r="AN596" s="67" t="str">
        <f t="shared" si="34"/>
        <v>Sunbury</v>
      </c>
      <c r="AO596" s="67" t="b">
        <f t="shared" si="35"/>
        <v>1</v>
      </c>
    </row>
    <row r="597" spans="1:41" x14ac:dyDescent="0.2">
      <c r="A597" s="1" t="s">
        <v>336</v>
      </c>
      <c r="C597" s="1" t="s">
        <v>332</v>
      </c>
      <c r="E597" s="48">
        <v>689779.08</v>
      </c>
      <c r="F597" s="48"/>
      <c r="G597" s="48">
        <v>0</v>
      </c>
      <c r="H597" s="48"/>
      <c r="I597" s="48">
        <v>0</v>
      </c>
      <c r="J597" s="48"/>
      <c r="K597" s="48">
        <v>3900.23</v>
      </c>
      <c r="L597" s="48"/>
      <c r="M597" s="48">
        <v>44060.24</v>
      </c>
      <c r="N597" s="48"/>
      <c r="O597" s="48">
        <v>89347.38</v>
      </c>
      <c r="P597" s="48"/>
      <c r="Q597" s="48">
        <v>391095.34</v>
      </c>
      <c r="R597" s="48"/>
      <c r="S597" s="48">
        <v>0</v>
      </c>
      <c r="T597" s="48"/>
      <c r="U597" s="48">
        <v>0</v>
      </c>
      <c r="V597" s="48"/>
      <c r="W597" s="48">
        <v>0</v>
      </c>
      <c r="X597" s="48"/>
      <c r="Y597" s="48">
        <v>425000</v>
      </c>
      <c r="Z597" s="48"/>
      <c r="AA597" s="48">
        <v>0</v>
      </c>
      <c r="AB597" s="48"/>
      <c r="AC597" s="48">
        <v>49402.43</v>
      </c>
      <c r="AD597" s="48"/>
      <c r="AE597" s="48">
        <f t="shared" si="36"/>
        <v>1692584.7</v>
      </c>
      <c r="AG597" s="55">
        <v>-106785.73</v>
      </c>
      <c r="AI597" s="55">
        <v>2845647.67</v>
      </c>
      <c r="AK597" s="55">
        <v>2738861.94</v>
      </c>
      <c r="AL597" s="8">
        <f>+'Gen Rev'!AI595-'Gen Exp'!AE597+'Gen Exp'!AI597-AK597</f>
        <v>0</v>
      </c>
      <c r="AM597" s="21" t="str">
        <f>'Gen Rev'!A595</f>
        <v>Swanton</v>
      </c>
      <c r="AN597" s="67" t="str">
        <f t="shared" si="34"/>
        <v>Swanton</v>
      </c>
      <c r="AO597" s="67" t="b">
        <f t="shared" si="35"/>
        <v>1</v>
      </c>
    </row>
    <row r="598" spans="1:41" x14ac:dyDescent="0.2">
      <c r="A598" s="1" t="s">
        <v>248</v>
      </c>
      <c r="C598" s="1" t="s">
        <v>566</v>
      </c>
      <c r="E598" s="48">
        <v>67692.41</v>
      </c>
      <c r="F598" s="48"/>
      <c r="G598" s="48">
        <v>2038</v>
      </c>
      <c r="H598" s="48"/>
      <c r="I598" s="48">
        <v>2000</v>
      </c>
      <c r="J598" s="48"/>
      <c r="K598" s="48">
        <v>0</v>
      </c>
      <c r="L598" s="48"/>
      <c r="M598" s="48">
        <v>0</v>
      </c>
      <c r="N598" s="48"/>
      <c r="O598" s="48">
        <v>0</v>
      </c>
      <c r="P598" s="48"/>
      <c r="Q598" s="48">
        <v>48458.89</v>
      </c>
      <c r="R598" s="48"/>
      <c r="S598" s="48">
        <v>0</v>
      </c>
      <c r="T598" s="48"/>
      <c r="U598" s="48">
        <v>0</v>
      </c>
      <c r="V598" s="48"/>
      <c r="W598" s="48">
        <v>0</v>
      </c>
      <c r="X598" s="48"/>
      <c r="Y598" s="48">
        <v>0</v>
      </c>
      <c r="Z598" s="48"/>
      <c r="AA598" s="48">
        <v>0</v>
      </c>
      <c r="AB598" s="48"/>
      <c r="AC598" s="48">
        <v>899.32</v>
      </c>
      <c r="AD598" s="48"/>
      <c r="AE598" s="48">
        <f t="shared" si="36"/>
        <v>121088.62000000001</v>
      </c>
      <c r="AG598" s="55">
        <v>48431.32</v>
      </c>
      <c r="AI598" s="55">
        <v>76805.11</v>
      </c>
      <c r="AK598" s="55">
        <v>125236.43</v>
      </c>
      <c r="AL598" s="8">
        <f>+'Gen Rev'!AI596-'Gen Exp'!AE598+'Gen Exp'!AI598-AK598</f>
        <v>0</v>
      </c>
      <c r="AM598" s="21" t="str">
        <f>'Gen Rev'!A596</f>
        <v>Sycamore</v>
      </c>
      <c r="AN598" s="67" t="str">
        <f t="shared" si="34"/>
        <v>Sycamore</v>
      </c>
      <c r="AO598" s="67" t="b">
        <f t="shared" si="35"/>
        <v>1</v>
      </c>
    </row>
    <row r="599" spans="1:41" x14ac:dyDescent="0.2">
      <c r="A599" s="1" t="s">
        <v>147</v>
      </c>
      <c r="C599" s="1" t="s">
        <v>431</v>
      </c>
      <c r="E599" s="48">
        <v>36567.46</v>
      </c>
      <c r="F599" s="48"/>
      <c r="G599" s="48">
        <v>0</v>
      </c>
      <c r="H599" s="48"/>
      <c r="I599" s="48">
        <v>12375.92</v>
      </c>
      <c r="J599" s="48"/>
      <c r="K599" s="48">
        <v>0</v>
      </c>
      <c r="L599" s="48"/>
      <c r="M599" s="48">
        <v>0</v>
      </c>
      <c r="N599" s="48"/>
      <c r="O599" s="48">
        <v>0</v>
      </c>
      <c r="P599" s="48"/>
      <c r="Q599" s="48">
        <v>53784.19</v>
      </c>
      <c r="R599" s="48"/>
      <c r="S599" s="48">
        <v>0</v>
      </c>
      <c r="T599" s="48"/>
      <c r="U599" s="48">
        <v>0</v>
      </c>
      <c r="V599" s="48"/>
      <c r="W599" s="48">
        <v>0</v>
      </c>
      <c r="X599" s="48"/>
      <c r="Y599" s="48">
        <v>9873.9699999999993</v>
      </c>
      <c r="Z599" s="48"/>
      <c r="AA599" s="48">
        <v>8000</v>
      </c>
      <c r="AB599" s="48"/>
      <c r="AC599" s="48">
        <v>0</v>
      </c>
      <c r="AD599" s="48"/>
      <c r="AE599" s="48">
        <f t="shared" si="36"/>
        <v>120601.54000000001</v>
      </c>
      <c r="AG599" s="55">
        <v>-21608.080000000002</v>
      </c>
      <c r="AI599" s="55">
        <v>122664.31</v>
      </c>
      <c r="AK599" s="55">
        <v>101056.23</v>
      </c>
      <c r="AL599" s="8">
        <f>+'Gen Rev'!AI597-'Gen Exp'!AE599+'Gen Exp'!AI599-AK599</f>
        <v>0</v>
      </c>
      <c r="AM599" s="21" t="str">
        <f>'Gen Rev'!A597</f>
        <v>Syracuse</v>
      </c>
      <c r="AN599" s="67" t="str">
        <f t="shared" si="34"/>
        <v>Syracuse</v>
      </c>
      <c r="AO599" s="67" t="b">
        <f t="shared" si="35"/>
        <v>1</v>
      </c>
    </row>
    <row r="600" spans="1:41" x14ac:dyDescent="0.2">
      <c r="A600" s="1" t="s">
        <v>176</v>
      </c>
      <c r="C600" s="1" t="s">
        <v>467</v>
      </c>
      <c r="E600" s="48">
        <v>1595</v>
      </c>
      <c r="F600" s="48"/>
      <c r="G600" s="48">
        <v>0</v>
      </c>
      <c r="H600" s="48"/>
      <c r="I600" s="48">
        <v>540</v>
      </c>
      <c r="J600" s="48"/>
      <c r="K600" s="48">
        <v>0</v>
      </c>
      <c r="L600" s="48"/>
      <c r="M600" s="48">
        <v>0</v>
      </c>
      <c r="N600" s="48"/>
      <c r="O600" s="48">
        <v>448.47</v>
      </c>
      <c r="P600" s="48"/>
      <c r="Q600" s="48">
        <v>26553.599999999999</v>
      </c>
      <c r="R600" s="48"/>
      <c r="S600" s="48">
        <v>0</v>
      </c>
      <c r="T600" s="48"/>
      <c r="U600" s="48">
        <v>0</v>
      </c>
      <c r="V600" s="48"/>
      <c r="W600" s="48">
        <v>0</v>
      </c>
      <c r="X600" s="48"/>
      <c r="Y600" s="48">
        <v>4891.8999999999996</v>
      </c>
      <c r="Z600" s="48"/>
      <c r="AA600" s="48">
        <v>0</v>
      </c>
      <c r="AB600" s="48"/>
      <c r="AC600" s="48">
        <v>200</v>
      </c>
      <c r="AD600" s="48"/>
      <c r="AE600" s="48">
        <f t="shared" si="36"/>
        <v>34228.97</v>
      </c>
      <c r="AG600" s="55">
        <v>-5147.88</v>
      </c>
      <c r="AI600" s="55">
        <v>9659.5400000000009</v>
      </c>
      <c r="AK600" s="55">
        <v>4511.66</v>
      </c>
      <c r="AL600" s="8">
        <f>+'Gen Rev'!AI598-'Gen Exp'!AE600+'Gen Exp'!AI600-AK600</f>
        <v>0</v>
      </c>
      <c r="AM600" s="21" t="str">
        <f>'Gen Rev'!A598</f>
        <v>Tarlton</v>
      </c>
      <c r="AN600" s="67" t="str">
        <f t="shared" si="34"/>
        <v>Tarlton</v>
      </c>
      <c r="AO600" s="67" t="b">
        <f t="shared" si="35"/>
        <v>1</v>
      </c>
    </row>
    <row r="601" spans="1:41" x14ac:dyDescent="0.2">
      <c r="A601" s="1" t="s">
        <v>357</v>
      </c>
      <c r="C601" s="1" t="s">
        <v>351</v>
      </c>
      <c r="E601" s="48">
        <v>807723.77</v>
      </c>
      <c r="F601" s="48"/>
      <c r="G601" s="48">
        <v>0</v>
      </c>
      <c r="H601" s="48"/>
      <c r="I601" s="48">
        <v>838.5</v>
      </c>
      <c r="J601" s="48"/>
      <c r="K601" s="48">
        <v>29345.37</v>
      </c>
      <c r="L601" s="48"/>
      <c r="M601" s="48">
        <v>137380.1</v>
      </c>
      <c r="N601" s="48"/>
      <c r="O601" s="48">
        <v>76780.86</v>
      </c>
      <c r="P601" s="48"/>
      <c r="Q601" s="48">
        <v>423448.33</v>
      </c>
      <c r="R601" s="48"/>
      <c r="S601" s="48">
        <v>0</v>
      </c>
      <c r="T601" s="48"/>
      <c r="U601" s="48">
        <v>0</v>
      </c>
      <c r="V601" s="48"/>
      <c r="W601" s="48">
        <v>0</v>
      </c>
      <c r="X601" s="48"/>
      <c r="Y601" s="48">
        <v>0</v>
      </c>
      <c r="Z601" s="48"/>
      <c r="AA601" s="48">
        <v>0</v>
      </c>
      <c r="AB601" s="48"/>
      <c r="AC601" s="48">
        <v>0</v>
      </c>
      <c r="AD601" s="48"/>
      <c r="AE601" s="48">
        <f t="shared" si="36"/>
        <v>1475516.9300000002</v>
      </c>
      <c r="AG601" s="55">
        <v>46248.2</v>
      </c>
      <c r="AI601" s="55">
        <v>1101544.21</v>
      </c>
      <c r="AK601" s="55">
        <v>1147792.4099999999</v>
      </c>
      <c r="AL601" s="8">
        <f>+'Gen Rev'!AI599-'Gen Exp'!AE601+'Gen Exp'!AI601-AK601</f>
        <v>0</v>
      </c>
      <c r="AM601" s="21" t="str">
        <f>'Gen Rev'!A599</f>
        <v>Terrace Park</v>
      </c>
      <c r="AN601" s="67" t="str">
        <f t="shared" si="34"/>
        <v>Terrace Park</v>
      </c>
      <c r="AO601" s="67" t="b">
        <f t="shared" si="35"/>
        <v>1</v>
      </c>
    </row>
    <row r="602" spans="1:41" x14ac:dyDescent="0.2">
      <c r="A602" s="1" t="s">
        <v>466</v>
      </c>
      <c r="C602" s="1" t="s">
        <v>464</v>
      </c>
      <c r="E602" s="48">
        <v>22510.15</v>
      </c>
      <c r="F602" s="48"/>
      <c r="G602" s="48">
        <v>0</v>
      </c>
      <c r="H602" s="48"/>
      <c r="I602" s="48">
        <v>0</v>
      </c>
      <c r="J602" s="48"/>
      <c r="K602" s="48">
        <v>19614.29</v>
      </c>
      <c r="L602" s="48"/>
      <c r="M602" s="48">
        <v>0</v>
      </c>
      <c r="N602" s="48"/>
      <c r="O602" s="48">
        <v>174.32</v>
      </c>
      <c r="P602" s="48"/>
      <c r="Q602" s="48">
        <v>116658.33</v>
      </c>
      <c r="R602" s="48"/>
      <c r="S602" s="48">
        <v>0</v>
      </c>
      <c r="T602" s="48"/>
      <c r="U602" s="48">
        <v>0</v>
      </c>
      <c r="V602" s="48"/>
      <c r="W602" s="48">
        <v>0</v>
      </c>
      <c r="X602" s="48"/>
      <c r="Y602" s="48">
        <v>0</v>
      </c>
      <c r="Z602" s="48"/>
      <c r="AA602" s="48">
        <v>0</v>
      </c>
      <c r="AB602" s="48"/>
      <c r="AC602" s="48">
        <v>0</v>
      </c>
      <c r="AD602" s="48"/>
      <c r="AE602" s="48">
        <f t="shared" si="36"/>
        <v>158957.09</v>
      </c>
      <c r="AG602" s="55">
        <v>3742.49</v>
      </c>
      <c r="AI602" s="55">
        <v>444645.78</v>
      </c>
      <c r="AK602" s="55">
        <v>448388.27</v>
      </c>
      <c r="AL602" s="8">
        <f>+'Gen Rev'!AI600-'Gen Exp'!AE602+'Gen Exp'!AI602-AK602</f>
        <v>0</v>
      </c>
      <c r="AM602" s="21" t="str">
        <f>'Gen Rev'!A600</f>
        <v>Thornville</v>
      </c>
      <c r="AN602" s="67" t="str">
        <f t="shared" si="34"/>
        <v>Thornville</v>
      </c>
      <c r="AO602" s="67" t="b">
        <f t="shared" si="35"/>
        <v>1</v>
      </c>
    </row>
    <row r="603" spans="1:41" x14ac:dyDescent="0.2">
      <c r="A603" s="1" t="s">
        <v>62</v>
      </c>
      <c r="C603" s="1" t="s">
        <v>327</v>
      </c>
      <c r="E603" s="48">
        <v>3667.41</v>
      </c>
      <c r="F603" s="48"/>
      <c r="G603" s="48">
        <v>2046.82</v>
      </c>
      <c r="H603" s="48"/>
      <c r="I603" s="48">
        <v>0</v>
      </c>
      <c r="J603" s="48"/>
      <c r="K603" s="48">
        <v>170</v>
      </c>
      <c r="L603" s="48"/>
      <c r="M603" s="48">
        <v>7298.76</v>
      </c>
      <c r="N603" s="48"/>
      <c r="O603" s="48">
        <v>0</v>
      </c>
      <c r="P603" s="48"/>
      <c r="Q603" s="48">
        <v>34655.230000000003</v>
      </c>
      <c r="R603" s="48"/>
      <c r="S603" s="48">
        <v>23261</v>
      </c>
      <c r="T603" s="48"/>
      <c r="U603" s="48">
        <v>0</v>
      </c>
      <c r="V603" s="48"/>
      <c r="W603" s="48">
        <v>0</v>
      </c>
      <c r="X603" s="48"/>
      <c r="Y603" s="48">
        <v>4570.3999999999996</v>
      </c>
      <c r="Z603" s="48"/>
      <c r="AA603" s="48">
        <v>0</v>
      </c>
      <c r="AB603" s="48"/>
      <c r="AC603" s="48">
        <v>0</v>
      </c>
      <c r="AD603" s="48"/>
      <c r="AE603" s="48">
        <f t="shared" si="36"/>
        <v>75669.62</v>
      </c>
      <c r="AG603" s="55">
        <v>62726.6</v>
      </c>
      <c r="AI603" s="55">
        <v>68761</v>
      </c>
      <c r="AK603" s="55">
        <v>131487.6</v>
      </c>
      <c r="AL603" s="8">
        <f>+'Gen Rev'!AI601-'Gen Exp'!AE603+'Gen Exp'!AI603-AK603</f>
        <v>0</v>
      </c>
      <c r="AM603" s="21" t="str">
        <f>'Gen Rev'!A601</f>
        <v>Thurston</v>
      </c>
      <c r="AN603" s="67" t="str">
        <f t="shared" si="34"/>
        <v>Thurston</v>
      </c>
      <c r="AO603" s="67" t="b">
        <f t="shared" si="35"/>
        <v>1</v>
      </c>
    </row>
    <row r="604" spans="1:41" x14ac:dyDescent="0.2">
      <c r="A604" s="1" t="s">
        <v>403</v>
      </c>
      <c r="C604" s="1" t="s">
        <v>399</v>
      </c>
      <c r="E604" s="48">
        <v>253144</v>
      </c>
      <c r="F604" s="48"/>
      <c r="G604" s="48">
        <v>5637</v>
      </c>
      <c r="H604" s="48"/>
      <c r="I604" s="48">
        <v>26052</v>
      </c>
      <c r="J604" s="48"/>
      <c r="K604" s="48">
        <v>0</v>
      </c>
      <c r="L604" s="48"/>
      <c r="M604" s="48">
        <v>90443</v>
      </c>
      <c r="N604" s="48"/>
      <c r="O604" s="48">
        <v>0</v>
      </c>
      <c r="P604" s="48"/>
      <c r="Q604" s="48">
        <v>118670</v>
      </c>
      <c r="R604" s="48"/>
      <c r="S604" s="48">
        <v>0</v>
      </c>
      <c r="T604" s="48"/>
      <c r="U604" s="48">
        <v>0</v>
      </c>
      <c r="V604" s="48"/>
      <c r="W604" s="48">
        <v>0</v>
      </c>
      <c r="X604" s="48"/>
      <c r="Y604" s="48">
        <v>0</v>
      </c>
      <c r="Z604" s="48"/>
      <c r="AA604" s="48">
        <v>0</v>
      </c>
      <c r="AB604" s="48"/>
      <c r="AC604" s="48">
        <v>0</v>
      </c>
      <c r="AD604" s="48"/>
      <c r="AE604" s="48">
        <f t="shared" si="36"/>
        <v>493946</v>
      </c>
      <c r="AF604" s="48"/>
      <c r="AG604" s="59"/>
      <c r="AH604" s="59"/>
      <c r="AI604" s="59"/>
      <c r="AJ604" s="59"/>
      <c r="AK604" s="59"/>
      <c r="AL604" s="8">
        <f>+'Gen Rev'!AI602-'Gen Exp'!AE604+'Gen Exp'!AI604-AK604</f>
        <v>-18933</v>
      </c>
      <c r="AM604" s="21" t="str">
        <f>'Gen Rev'!A602</f>
        <v>Timberlake</v>
      </c>
      <c r="AN604" s="67" t="str">
        <f t="shared" si="34"/>
        <v>Timberlake</v>
      </c>
      <c r="AO604" s="67" t="b">
        <f t="shared" si="35"/>
        <v>1</v>
      </c>
    </row>
    <row r="605" spans="1:41" x14ac:dyDescent="0.2">
      <c r="A605" s="1" t="s">
        <v>727</v>
      </c>
      <c r="C605" s="1" t="s">
        <v>289</v>
      </c>
      <c r="E605" s="48">
        <v>4124.7700000000004</v>
      </c>
      <c r="F605" s="48"/>
      <c r="G605" s="48">
        <v>206</v>
      </c>
      <c r="H605" s="48"/>
      <c r="I605" s="48">
        <v>0</v>
      </c>
      <c r="J605" s="48"/>
      <c r="K605" s="48">
        <v>0</v>
      </c>
      <c r="L605" s="48"/>
      <c r="M605" s="48">
        <v>0</v>
      </c>
      <c r="N605" s="48"/>
      <c r="O605" s="48">
        <v>0</v>
      </c>
      <c r="P605" s="48"/>
      <c r="Q605" s="48">
        <v>12010.08</v>
      </c>
      <c r="R605" s="48"/>
      <c r="S605" s="48">
        <v>0</v>
      </c>
      <c r="T605" s="48"/>
      <c r="U605" s="48">
        <v>9175.14</v>
      </c>
      <c r="V605" s="48"/>
      <c r="W605" s="48">
        <v>0</v>
      </c>
      <c r="X605" s="48"/>
      <c r="Y605" s="48">
        <v>0</v>
      </c>
      <c r="Z605" s="48"/>
      <c r="AA605" s="48">
        <v>0</v>
      </c>
      <c r="AB605" s="48"/>
      <c r="AC605" s="48">
        <v>0</v>
      </c>
      <c r="AD605" s="48"/>
      <c r="AE605" s="48">
        <f t="shared" si="36"/>
        <v>25515.989999999998</v>
      </c>
      <c r="AG605" s="55">
        <v>-14793.73</v>
      </c>
      <c r="AI605" s="55">
        <v>4527.32</v>
      </c>
      <c r="AK605" s="55">
        <v>-10266.41</v>
      </c>
      <c r="AL605" s="8">
        <f>+'Gen Rev'!AI603-'Gen Exp'!AE605+'Gen Exp'!AI605-AK605</f>
        <v>0</v>
      </c>
      <c r="AM605" s="21" t="str">
        <f>'Gen Rev'!A603</f>
        <v>Tiro</v>
      </c>
      <c r="AN605" s="67" t="str">
        <f t="shared" si="34"/>
        <v>Tiro</v>
      </c>
      <c r="AO605" s="67" t="b">
        <f t="shared" si="35"/>
        <v>1</v>
      </c>
    </row>
    <row r="606" spans="1:41" x14ac:dyDescent="0.2">
      <c r="A606" s="1" t="s">
        <v>564</v>
      </c>
      <c r="C606" s="1" t="s">
        <v>558</v>
      </c>
      <c r="E606" s="48">
        <v>27360</v>
      </c>
      <c r="F606" s="48"/>
      <c r="G606" s="48">
        <v>202.66</v>
      </c>
      <c r="H606" s="48"/>
      <c r="I606" s="48">
        <v>10466.93</v>
      </c>
      <c r="J606" s="48"/>
      <c r="K606" s="48">
        <v>1385.4</v>
      </c>
      <c r="L606" s="48"/>
      <c r="M606" s="48">
        <v>943.2</v>
      </c>
      <c r="N606" s="48"/>
      <c r="O606" s="48">
        <v>1587.8</v>
      </c>
      <c r="P606" s="48"/>
      <c r="Q606" s="48">
        <v>43992.72</v>
      </c>
      <c r="R606" s="48"/>
      <c r="S606" s="48">
        <v>61859.45</v>
      </c>
      <c r="T606" s="48"/>
      <c r="U606" s="48">
        <v>0</v>
      </c>
      <c r="V606" s="48"/>
      <c r="W606" s="48">
        <v>0</v>
      </c>
      <c r="X606" s="48"/>
      <c r="Y606" s="48">
        <v>0</v>
      </c>
      <c r="Z606" s="48"/>
      <c r="AA606" s="48">
        <v>0</v>
      </c>
      <c r="AB606" s="48"/>
      <c r="AC606" s="48">
        <v>1987.44</v>
      </c>
      <c r="AD606" s="48"/>
      <c r="AE606" s="48">
        <f t="shared" si="36"/>
        <v>149785.59999999998</v>
      </c>
      <c r="AG606" s="55">
        <v>-17642.21</v>
      </c>
      <c r="AI606" s="55">
        <v>175715.53</v>
      </c>
      <c r="AK606" s="55">
        <v>158073.32</v>
      </c>
      <c r="AL606" s="8">
        <f>+'Gen Rev'!AI604-'Gen Exp'!AE606+'Gen Exp'!AI606-AK606</f>
        <v>0</v>
      </c>
      <c r="AM606" s="21" t="str">
        <f>'Gen Rev'!A604</f>
        <v>Tontogany</v>
      </c>
      <c r="AN606" s="67" t="str">
        <f t="shared" si="34"/>
        <v>Tontogany</v>
      </c>
      <c r="AO606" s="67" t="b">
        <f t="shared" si="35"/>
        <v>1</v>
      </c>
    </row>
    <row r="607" spans="1:41" x14ac:dyDescent="0.2">
      <c r="A607" s="1" t="s">
        <v>814</v>
      </c>
      <c r="C607" s="1" t="s">
        <v>253</v>
      </c>
      <c r="E607" s="48">
        <v>3037</v>
      </c>
      <c r="F607" s="48"/>
      <c r="G607" s="48">
        <v>0</v>
      </c>
      <c r="H607" s="48"/>
      <c r="I607" s="48">
        <v>0</v>
      </c>
      <c r="J607" s="48"/>
      <c r="K607" s="48">
        <v>0</v>
      </c>
      <c r="L607" s="48"/>
      <c r="M607" s="48">
        <v>0</v>
      </c>
      <c r="N607" s="48"/>
      <c r="O607" s="48">
        <v>0</v>
      </c>
      <c r="P607" s="48"/>
      <c r="Q607" s="48">
        <v>48104</v>
      </c>
      <c r="R607" s="48"/>
      <c r="S607" s="48">
        <v>0</v>
      </c>
      <c r="T607" s="48"/>
      <c r="U607" s="48">
        <v>0</v>
      </c>
      <c r="V607" s="48"/>
      <c r="W607" s="48">
        <v>0</v>
      </c>
      <c r="X607" s="48"/>
      <c r="Y607" s="48">
        <v>0</v>
      </c>
      <c r="Z607" s="48"/>
      <c r="AA607" s="48">
        <v>0</v>
      </c>
      <c r="AB607" s="48"/>
      <c r="AC607" s="48">
        <v>0</v>
      </c>
      <c r="AD607" s="48"/>
      <c r="AE607" s="48">
        <f t="shared" si="36"/>
        <v>51141</v>
      </c>
      <c r="AF607" s="48"/>
      <c r="AG607" s="59"/>
      <c r="AH607" s="59"/>
      <c r="AI607" s="59"/>
      <c r="AJ607" s="59"/>
      <c r="AK607" s="59"/>
      <c r="AL607" s="8">
        <f>+'Gen Rev'!AI605-'Gen Exp'!AE607+'Gen Exp'!AI607-AK607</f>
        <v>-6453</v>
      </c>
      <c r="AM607" s="21" t="str">
        <f>'Gen Rev'!A605</f>
        <v>Trimble</v>
      </c>
      <c r="AN607" s="67" t="str">
        <f t="shared" si="34"/>
        <v>Trimble</v>
      </c>
      <c r="AO607" s="67" t="b">
        <f t="shared" si="35"/>
        <v>1</v>
      </c>
    </row>
    <row r="608" spans="1:41" x14ac:dyDescent="0.2">
      <c r="A608" s="1" t="s">
        <v>521</v>
      </c>
      <c r="C608" s="1" t="s">
        <v>521</v>
      </c>
      <c r="E608" s="48">
        <v>65437.27</v>
      </c>
      <c r="F608" s="48"/>
      <c r="G608" s="48">
        <v>246.25</v>
      </c>
      <c r="H608" s="48"/>
      <c r="I608" s="48">
        <v>0</v>
      </c>
      <c r="J608" s="48"/>
      <c r="K608" s="48">
        <v>10603.6</v>
      </c>
      <c r="L608" s="48"/>
      <c r="M608" s="48">
        <v>40859.949999999997</v>
      </c>
      <c r="N608" s="48"/>
      <c r="O608" s="48">
        <v>0</v>
      </c>
      <c r="P608" s="48"/>
      <c r="Q608" s="48">
        <v>100701.9</v>
      </c>
      <c r="R608" s="48"/>
      <c r="S608" s="48">
        <v>13750.12</v>
      </c>
      <c r="T608" s="48"/>
      <c r="U608" s="48">
        <v>0</v>
      </c>
      <c r="V608" s="48"/>
      <c r="W608" s="48">
        <v>0</v>
      </c>
      <c r="X608" s="48"/>
      <c r="Y608" s="48">
        <v>0</v>
      </c>
      <c r="Z608" s="48"/>
      <c r="AA608" s="48">
        <v>0</v>
      </c>
      <c r="AB608" s="48"/>
      <c r="AC608" s="48">
        <v>0</v>
      </c>
      <c r="AD608" s="48"/>
      <c r="AE608" s="48">
        <f t="shared" si="36"/>
        <v>231599.08999999997</v>
      </c>
      <c r="AG608" s="55">
        <v>-16982.099999999999</v>
      </c>
      <c r="AI608" s="55">
        <v>212554.38</v>
      </c>
      <c r="AK608" s="55">
        <v>195572.28</v>
      </c>
      <c r="AL608" s="8">
        <f>+'Gen Rev'!AI606-'Gen Exp'!AE608+'Gen Exp'!AI608-AK608</f>
        <v>0</v>
      </c>
      <c r="AM608" s="21" t="str">
        <f>'Gen Rev'!A606</f>
        <v>Tuscarawas</v>
      </c>
      <c r="AN608" s="67" t="str">
        <f t="shared" si="34"/>
        <v>Tuscarawas</v>
      </c>
      <c r="AO608" s="67" t="b">
        <f t="shared" si="35"/>
        <v>1</v>
      </c>
    </row>
    <row r="609" spans="1:41" x14ac:dyDescent="0.2">
      <c r="A609" s="1" t="s">
        <v>314</v>
      </c>
      <c r="C609" s="1" t="s">
        <v>306</v>
      </c>
      <c r="E609" s="48">
        <v>156158</v>
      </c>
      <c r="F609" s="48"/>
      <c r="G609" s="48">
        <v>3753</v>
      </c>
      <c r="H609" s="48"/>
      <c r="I609" s="48">
        <v>174</v>
      </c>
      <c r="J609" s="48"/>
      <c r="K609" s="48">
        <v>0</v>
      </c>
      <c r="L609" s="48"/>
      <c r="M609" s="48">
        <v>67839</v>
      </c>
      <c r="N609" s="48"/>
      <c r="O609" s="48">
        <v>20008</v>
      </c>
      <c r="P609" s="48"/>
      <c r="Q609" s="48">
        <v>143867</v>
      </c>
      <c r="R609" s="48"/>
      <c r="S609" s="48">
        <v>0</v>
      </c>
      <c r="T609" s="48"/>
      <c r="U609" s="48">
        <v>0</v>
      </c>
      <c r="V609" s="48"/>
      <c r="W609" s="48">
        <v>0</v>
      </c>
      <c r="X609" s="48"/>
      <c r="Y609" s="48">
        <v>98997</v>
      </c>
      <c r="Z609" s="48"/>
      <c r="AA609" s="48">
        <v>0</v>
      </c>
      <c r="AB609" s="48"/>
      <c r="AC609" s="48">
        <v>0</v>
      </c>
      <c r="AD609" s="48"/>
      <c r="AE609" s="48">
        <f t="shared" si="36"/>
        <v>490796</v>
      </c>
      <c r="AF609" s="48"/>
      <c r="AG609" s="59"/>
      <c r="AH609" s="59"/>
      <c r="AI609" s="59"/>
      <c r="AJ609" s="59"/>
      <c r="AK609" s="59"/>
      <c r="AL609" s="8">
        <f>+'Gen Rev'!AI607-'Gen Exp'!AE609+'Gen Exp'!AI609-AK609</f>
        <v>13590</v>
      </c>
      <c r="AM609" s="21" t="str">
        <f>'Gen Rev'!A607</f>
        <v>Union City</v>
      </c>
      <c r="AN609" s="67" t="str">
        <f t="shared" si="34"/>
        <v>Union City</v>
      </c>
      <c r="AO609" s="67" t="b">
        <f t="shared" si="35"/>
        <v>1</v>
      </c>
    </row>
    <row r="610" spans="1:41" x14ac:dyDescent="0.2">
      <c r="A610" s="1" t="s">
        <v>530</v>
      </c>
      <c r="C610" s="1" t="s">
        <v>531</v>
      </c>
      <c r="E610" s="48">
        <v>3244.19</v>
      </c>
      <c r="F610" s="48"/>
      <c r="G610" s="48">
        <v>0</v>
      </c>
      <c r="H610" s="48"/>
      <c r="I610" s="48">
        <v>1500</v>
      </c>
      <c r="J610" s="48"/>
      <c r="K610" s="48">
        <v>487.5</v>
      </c>
      <c r="L610" s="48"/>
      <c r="M610" s="48">
        <v>277.77999999999997</v>
      </c>
      <c r="N610" s="48"/>
      <c r="O610" s="48">
        <v>0</v>
      </c>
      <c r="P610" s="48"/>
      <c r="Q610" s="48">
        <v>10859.08</v>
      </c>
      <c r="R610" s="48"/>
      <c r="S610" s="48">
        <v>0</v>
      </c>
      <c r="T610" s="48"/>
      <c r="U610" s="48">
        <v>0</v>
      </c>
      <c r="V610" s="48"/>
      <c r="W610" s="48">
        <v>0</v>
      </c>
      <c r="X610" s="48"/>
      <c r="Y610" s="48">
        <v>0</v>
      </c>
      <c r="Z610" s="48"/>
      <c r="AA610" s="48">
        <v>0</v>
      </c>
      <c r="AB610" s="48"/>
      <c r="AC610" s="48">
        <v>0</v>
      </c>
      <c r="AD610" s="48"/>
      <c r="AE610" s="48">
        <f t="shared" si="36"/>
        <v>16368.55</v>
      </c>
      <c r="AG610" s="55">
        <v>-1764.85</v>
      </c>
      <c r="AI610" s="55">
        <v>16887.150000000001</v>
      </c>
      <c r="AK610" s="55">
        <v>15122.3</v>
      </c>
      <c r="AL610" s="8">
        <f>+'Gen Rev'!AI608-'Gen Exp'!AE610+'Gen Exp'!AI610-AK610</f>
        <v>0</v>
      </c>
      <c r="AM610" s="21" t="str">
        <f>'Gen Rev'!A608</f>
        <v>Unionville Center</v>
      </c>
      <c r="AN610" s="67" t="str">
        <f t="shared" si="34"/>
        <v>Unionville Center</v>
      </c>
      <c r="AO610" s="67" t="b">
        <f t="shared" si="35"/>
        <v>1</v>
      </c>
    </row>
    <row r="611" spans="1:41" x14ac:dyDescent="0.2">
      <c r="A611" s="1" t="s">
        <v>13</v>
      </c>
      <c r="C611" s="1" t="s">
        <v>257</v>
      </c>
      <c r="E611" s="48">
        <v>6821.52</v>
      </c>
      <c r="F611" s="48"/>
      <c r="G611" s="48">
        <v>0</v>
      </c>
      <c r="H611" s="48"/>
      <c r="I611" s="48">
        <v>1804</v>
      </c>
      <c r="J611" s="48"/>
      <c r="K611" s="48">
        <v>0</v>
      </c>
      <c r="L611" s="48"/>
      <c r="M611" s="48">
        <v>602.05999999999995</v>
      </c>
      <c r="N611" s="48"/>
      <c r="O611" s="48">
        <v>0</v>
      </c>
      <c r="P611" s="48"/>
      <c r="Q611" s="48">
        <v>28655.69</v>
      </c>
      <c r="R611" s="48"/>
      <c r="S611" s="48">
        <v>0</v>
      </c>
      <c r="T611" s="48"/>
      <c r="U611" s="48">
        <v>0</v>
      </c>
      <c r="V611" s="48"/>
      <c r="W611" s="48">
        <v>0</v>
      </c>
      <c r="X611" s="48"/>
      <c r="Y611" s="48">
        <v>0</v>
      </c>
      <c r="Z611" s="48"/>
      <c r="AA611" s="48">
        <v>0</v>
      </c>
      <c r="AB611" s="48"/>
      <c r="AC611" s="48">
        <v>0</v>
      </c>
      <c r="AD611" s="48"/>
      <c r="AE611" s="48">
        <f t="shared" si="36"/>
        <v>37883.269999999997</v>
      </c>
      <c r="AG611" s="55">
        <v>2114.86</v>
      </c>
      <c r="AI611" s="55">
        <v>75298.23</v>
      </c>
      <c r="AK611" s="55">
        <v>77413.09</v>
      </c>
      <c r="AL611" s="8">
        <f>+'Gen Rev'!AI612-'Gen Exp'!AE611+'Gen Exp'!AI611-AK611</f>
        <v>0</v>
      </c>
      <c r="AM611" s="21" t="str">
        <f>'Gen Rev'!A612</f>
        <v>Uniopolis</v>
      </c>
      <c r="AN611" s="67" t="str">
        <f t="shared" si="34"/>
        <v>Uniopolis</v>
      </c>
      <c r="AO611" s="67" t="b">
        <f t="shared" si="35"/>
        <v>1</v>
      </c>
    </row>
    <row r="612" spans="1:41" x14ac:dyDescent="0.2">
      <c r="A612" s="1" t="s">
        <v>71</v>
      </c>
      <c r="C612" s="1" t="s">
        <v>329</v>
      </c>
      <c r="E612" s="48">
        <v>29825.75</v>
      </c>
      <c r="F612" s="48"/>
      <c r="G612" s="48">
        <v>0</v>
      </c>
      <c r="H612" s="48"/>
      <c r="I612" s="48">
        <v>27202.93</v>
      </c>
      <c r="J612" s="48"/>
      <c r="K612" s="48">
        <v>11565.85</v>
      </c>
      <c r="L612" s="48"/>
      <c r="M612" s="48">
        <v>0</v>
      </c>
      <c r="N612" s="48"/>
      <c r="O612" s="48">
        <v>118259.43</v>
      </c>
      <c r="P612" s="48"/>
      <c r="Q612" s="48">
        <v>284672.08</v>
      </c>
      <c r="R612" s="48"/>
      <c r="S612" s="48">
        <v>0</v>
      </c>
      <c r="T612" s="48"/>
      <c r="U612" s="48">
        <v>0</v>
      </c>
      <c r="V612" s="48"/>
      <c r="W612" s="48">
        <v>0</v>
      </c>
      <c r="X612" s="48"/>
      <c r="Y612" s="48">
        <v>77891.12</v>
      </c>
      <c r="Z612" s="48"/>
      <c r="AA612" s="48">
        <v>0</v>
      </c>
      <c r="AB612" s="48"/>
      <c r="AC612" s="48">
        <v>184689.62</v>
      </c>
      <c r="AD612" s="48"/>
      <c r="AE612" s="48">
        <f t="shared" si="36"/>
        <v>734106.78</v>
      </c>
      <c r="AG612" s="55">
        <v>386063.09</v>
      </c>
      <c r="AI612" s="55">
        <v>1670000.29</v>
      </c>
      <c r="AK612" s="55">
        <v>2056063.38</v>
      </c>
      <c r="AL612" s="8">
        <f>+'Gen Rev'!AI613-'Gen Exp'!AE612+'Gen Exp'!AI612-AK612</f>
        <v>0</v>
      </c>
      <c r="AM612" s="21" t="str">
        <f>'Gen Rev'!A613</f>
        <v>Urbancrest</v>
      </c>
      <c r="AN612" s="67" t="str">
        <f t="shared" si="34"/>
        <v>Urbancrest</v>
      </c>
      <c r="AO612" s="67" t="b">
        <f t="shared" si="35"/>
        <v>1</v>
      </c>
    </row>
    <row r="613" spans="1:41" x14ac:dyDescent="0.2">
      <c r="A613" s="1" t="s">
        <v>413</v>
      </c>
      <c r="C613" s="1" t="s">
        <v>408</v>
      </c>
      <c r="E613" s="48">
        <v>345610</v>
      </c>
      <c r="F613" s="48"/>
      <c r="G613" s="48">
        <v>4927</v>
      </c>
      <c r="H613" s="48"/>
      <c r="I613" s="48">
        <v>829</v>
      </c>
      <c r="J613" s="48"/>
      <c r="K613" s="48">
        <v>0</v>
      </c>
      <c r="L613" s="48"/>
      <c r="M613" s="48">
        <v>26896</v>
      </c>
      <c r="N613" s="48"/>
      <c r="O613" s="48">
        <v>0</v>
      </c>
      <c r="P613" s="48"/>
      <c r="Q613" s="48">
        <v>212734</v>
      </c>
      <c r="R613" s="48"/>
      <c r="S613" s="48">
        <v>851</v>
      </c>
      <c r="T613" s="48"/>
      <c r="U613" s="48">
        <v>0</v>
      </c>
      <c r="V613" s="48"/>
      <c r="W613" s="48">
        <v>0</v>
      </c>
      <c r="X613" s="48"/>
      <c r="Y613" s="48">
        <v>0</v>
      </c>
      <c r="Z613" s="48"/>
      <c r="AA613" s="48">
        <v>0</v>
      </c>
      <c r="AB613" s="48"/>
      <c r="AC613" s="48">
        <v>0</v>
      </c>
      <c r="AD613" s="48"/>
      <c r="AE613" s="48">
        <f t="shared" si="36"/>
        <v>591847</v>
      </c>
      <c r="AF613" s="48"/>
      <c r="AG613" s="59"/>
      <c r="AH613" s="59"/>
      <c r="AI613" s="59"/>
      <c r="AJ613" s="59"/>
      <c r="AK613" s="59"/>
      <c r="AL613" s="8">
        <f>+'Gen Rev'!AI614-'Gen Exp'!AE613+'Gen Exp'!AI613-AK613</f>
        <v>49528</v>
      </c>
      <c r="AM613" s="21" t="str">
        <f>'Gen Rev'!A614</f>
        <v>Utica</v>
      </c>
      <c r="AN613" s="67" t="str">
        <f t="shared" si="34"/>
        <v>Utica</v>
      </c>
      <c r="AO613" s="67" t="b">
        <f t="shared" si="35"/>
        <v>1</v>
      </c>
    </row>
    <row r="614" spans="1:41" x14ac:dyDescent="0.2">
      <c r="A614" s="1" t="s">
        <v>416</v>
      </c>
      <c r="C614" s="1" t="s">
        <v>414</v>
      </c>
      <c r="E614" s="48">
        <v>0</v>
      </c>
      <c r="F614" s="48"/>
      <c r="G614" s="48">
        <v>0</v>
      </c>
      <c r="H614" s="48"/>
      <c r="I614" s="48">
        <v>0</v>
      </c>
      <c r="J614" s="48"/>
      <c r="K614" s="48">
        <v>0</v>
      </c>
      <c r="L614" s="48"/>
      <c r="M614" s="48">
        <v>0</v>
      </c>
      <c r="N614" s="48"/>
      <c r="O614" s="48">
        <v>0</v>
      </c>
      <c r="P614" s="48"/>
      <c r="Q614" s="48">
        <v>31095</v>
      </c>
      <c r="R614" s="48"/>
      <c r="S614" s="48">
        <v>0</v>
      </c>
      <c r="T614" s="48"/>
      <c r="U614" s="48">
        <v>0</v>
      </c>
      <c r="V614" s="48"/>
      <c r="W614" s="48">
        <v>0</v>
      </c>
      <c r="X614" s="48"/>
      <c r="Y614" s="48">
        <v>0</v>
      </c>
      <c r="Z614" s="48"/>
      <c r="AA614" s="48">
        <v>0</v>
      </c>
      <c r="AB614" s="48"/>
      <c r="AC614" s="48">
        <v>0</v>
      </c>
      <c r="AD614" s="48"/>
      <c r="AE614" s="48">
        <f t="shared" si="36"/>
        <v>31095</v>
      </c>
      <c r="AF614" s="48"/>
      <c r="AG614" s="59"/>
      <c r="AH614" s="59"/>
      <c r="AI614" s="59"/>
      <c r="AJ614" s="59"/>
      <c r="AK614" s="59"/>
      <c r="AL614" s="8">
        <f>+'Gen Rev'!AI615-'Gen Exp'!AE614+'Gen Exp'!AI614-AK614</f>
        <v>8252</v>
      </c>
      <c r="AM614" s="21" t="str">
        <f>'Gen Rev'!A615</f>
        <v>Valley Hi</v>
      </c>
      <c r="AN614" s="67" t="str">
        <f t="shared" si="34"/>
        <v>Valley Hi</v>
      </c>
      <c r="AO614" s="67" t="b">
        <f t="shared" si="35"/>
        <v>1</v>
      </c>
    </row>
    <row r="615" spans="1:41" x14ac:dyDescent="0.2">
      <c r="A615" s="1" t="s">
        <v>303</v>
      </c>
      <c r="C615" s="1" t="s">
        <v>293</v>
      </c>
      <c r="E615" s="48">
        <v>4398880</v>
      </c>
      <c r="F615" s="48"/>
      <c r="G615" s="48">
        <v>12825</v>
      </c>
      <c r="H615" s="48"/>
      <c r="I615" s="48">
        <v>406840</v>
      </c>
      <c r="J615" s="48"/>
      <c r="K615" s="48">
        <v>0</v>
      </c>
      <c r="L615" s="48"/>
      <c r="M615" s="48">
        <v>247910</v>
      </c>
      <c r="N615" s="48"/>
      <c r="O615" s="48">
        <v>986665</v>
      </c>
      <c r="P615" s="48"/>
      <c r="Q615" s="48">
        <v>2134172</v>
      </c>
      <c r="R615" s="48"/>
      <c r="S615" s="48">
        <v>1139285</v>
      </c>
      <c r="T615" s="48"/>
      <c r="U615" s="48">
        <v>0</v>
      </c>
      <c r="V615" s="48"/>
      <c r="W615" s="48">
        <v>0</v>
      </c>
      <c r="X615" s="48"/>
      <c r="Y615" s="48">
        <v>900100</v>
      </c>
      <c r="Z615" s="48"/>
      <c r="AA615" s="48">
        <v>0</v>
      </c>
      <c r="AB615" s="48"/>
      <c r="AC615" s="48">
        <v>0</v>
      </c>
      <c r="AD615" s="48"/>
      <c r="AE615" s="48">
        <f t="shared" si="36"/>
        <v>10226677</v>
      </c>
      <c r="AF615" s="48"/>
      <c r="AG615" s="59"/>
      <c r="AH615" s="59"/>
      <c r="AI615" s="59"/>
      <c r="AJ615" s="59"/>
      <c r="AK615" s="59"/>
      <c r="AL615" s="8">
        <f>+'Gen Rev'!AI616-'Gen Exp'!AE615+'Gen Exp'!AI615-AK615</f>
        <v>3379513</v>
      </c>
      <c r="AM615" s="21" t="str">
        <f>'Gen Rev'!A616</f>
        <v>Valley View</v>
      </c>
      <c r="AN615" s="67" t="str">
        <f t="shared" si="34"/>
        <v>Valley View</v>
      </c>
      <c r="AO615" s="67" t="b">
        <f t="shared" si="35"/>
        <v>1</v>
      </c>
    </row>
    <row r="616" spans="1:41" x14ac:dyDescent="0.2">
      <c r="A616" s="1" t="s">
        <v>72</v>
      </c>
      <c r="C616" s="1" t="s">
        <v>329</v>
      </c>
      <c r="E616" s="48">
        <v>92775.679999999993</v>
      </c>
      <c r="F616" s="48"/>
      <c r="G616" s="48">
        <v>0</v>
      </c>
      <c r="H616" s="48"/>
      <c r="I616" s="48">
        <v>7585.19</v>
      </c>
      <c r="J616" s="48"/>
      <c r="K616" s="48">
        <v>0</v>
      </c>
      <c r="L616" s="48"/>
      <c r="M616" s="48">
        <v>0</v>
      </c>
      <c r="N616" s="48"/>
      <c r="O616" s="48">
        <v>0</v>
      </c>
      <c r="P616" s="48"/>
      <c r="Q616" s="48">
        <v>104608.99</v>
      </c>
      <c r="R616" s="48"/>
      <c r="S616" s="48">
        <v>0</v>
      </c>
      <c r="T616" s="48"/>
      <c r="U616" s="48">
        <v>0</v>
      </c>
      <c r="V616" s="48"/>
      <c r="W616" s="48">
        <v>0</v>
      </c>
      <c r="X616" s="48"/>
      <c r="Y616" s="48">
        <v>16000</v>
      </c>
      <c r="Z616" s="48"/>
      <c r="AA616" s="48">
        <v>0</v>
      </c>
      <c r="AB616" s="48"/>
      <c r="AC616" s="48">
        <v>83.97</v>
      </c>
      <c r="AD616" s="48"/>
      <c r="AE616" s="48">
        <f t="shared" si="36"/>
        <v>221053.83</v>
      </c>
      <c r="AG616" s="55">
        <v>19654.89</v>
      </c>
      <c r="AI616" s="55">
        <v>74487.929999999993</v>
      </c>
      <c r="AK616" s="55">
        <v>94142.82</v>
      </c>
      <c r="AL616" s="8">
        <f>+'Gen Rev'!AI617-'Gen Exp'!AE616+'Gen Exp'!AI616-AK616</f>
        <v>0</v>
      </c>
      <c r="AM616" s="21" t="str">
        <f>'Gen Rev'!A617</f>
        <v>Valleyview</v>
      </c>
      <c r="AN616" s="67" t="str">
        <f t="shared" si="34"/>
        <v>Valleyview</v>
      </c>
      <c r="AO616" s="67" t="b">
        <f t="shared" si="35"/>
        <v>1</v>
      </c>
    </row>
    <row r="617" spans="1:41" x14ac:dyDescent="0.2">
      <c r="A617" s="1" t="s">
        <v>363</v>
      </c>
      <c r="C617" s="1" t="s">
        <v>360</v>
      </c>
      <c r="E617" s="48">
        <v>7105.3</v>
      </c>
      <c r="F617" s="48"/>
      <c r="G617" s="48">
        <v>1687.2</v>
      </c>
      <c r="H617" s="48"/>
      <c r="I617" s="48">
        <v>462.23</v>
      </c>
      <c r="J617" s="48"/>
      <c r="K617" s="48">
        <v>3165</v>
      </c>
      <c r="L617" s="48"/>
      <c r="M617" s="48">
        <v>952</v>
      </c>
      <c r="N617" s="48"/>
      <c r="O617" s="48">
        <v>320</v>
      </c>
      <c r="P617" s="48"/>
      <c r="Q617" s="48">
        <v>31825.23</v>
      </c>
      <c r="R617" s="48"/>
      <c r="S617" s="48">
        <v>0</v>
      </c>
      <c r="T617" s="48"/>
      <c r="U617" s="48">
        <v>11708.32</v>
      </c>
      <c r="V617" s="48"/>
      <c r="W617" s="48">
        <v>0</v>
      </c>
      <c r="X617" s="48"/>
      <c r="Y617" s="48">
        <v>0</v>
      </c>
      <c r="Z617" s="48"/>
      <c r="AA617" s="48">
        <v>0</v>
      </c>
      <c r="AB617" s="48"/>
      <c r="AC617" s="48">
        <v>0</v>
      </c>
      <c r="AD617" s="48"/>
      <c r="AE617" s="48">
        <f t="shared" si="36"/>
        <v>57225.279999999999</v>
      </c>
      <c r="AG617" s="55">
        <v>-9841.4</v>
      </c>
      <c r="AI617" s="55">
        <v>52654.81</v>
      </c>
      <c r="AK617" s="55">
        <v>42813.41</v>
      </c>
      <c r="AL617" s="8">
        <f>+'Gen Rev'!AI618-'Gen Exp'!AE617+'Gen Exp'!AI617-AK617</f>
        <v>0</v>
      </c>
      <c r="AM617" s="21" t="str">
        <f>'Gen Rev'!A618</f>
        <v>Van Buren</v>
      </c>
      <c r="AN617" s="67" t="str">
        <f t="shared" si="34"/>
        <v>Van Buren</v>
      </c>
      <c r="AO617" s="67" t="b">
        <f t="shared" si="35"/>
        <v>1</v>
      </c>
    </row>
    <row r="618" spans="1:41" x14ac:dyDescent="0.2">
      <c r="A618" s="1" t="s">
        <v>364</v>
      </c>
      <c r="C618" s="1" t="s">
        <v>360</v>
      </c>
      <c r="E618" s="48">
        <v>10802.15</v>
      </c>
      <c r="F618" s="48"/>
      <c r="G618" s="48">
        <v>1450.42</v>
      </c>
      <c r="H618" s="48"/>
      <c r="I618" s="48">
        <v>704.3</v>
      </c>
      <c r="J618" s="48"/>
      <c r="K618" s="48">
        <v>204.88</v>
      </c>
      <c r="L618" s="48"/>
      <c r="M618" s="48">
        <v>0</v>
      </c>
      <c r="N618" s="48"/>
      <c r="O618" s="48">
        <v>74.73</v>
      </c>
      <c r="P618" s="48"/>
      <c r="Q618" s="48">
        <v>28481.75</v>
      </c>
      <c r="R618" s="48"/>
      <c r="S618" s="48">
        <v>4200</v>
      </c>
      <c r="T618" s="48"/>
      <c r="U618" s="48">
        <v>1000</v>
      </c>
      <c r="V618" s="48"/>
      <c r="W618" s="48">
        <v>1695.31</v>
      </c>
      <c r="X618" s="48"/>
      <c r="Y618" s="48">
        <v>0</v>
      </c>
      <c r="Z618" s="48"/>
      <c r="AA618" s="48">
        <v>0</v>
      </c>
      <c r="AB618" s="48"/>
      <c r="AC618" s="48">
        <v>546.84</v>
      </c>
      <c r="AD618" s="48"/>
      <c r="AE618" s="48">
        <f t="shared" si="36"/>
        <v>49160.37999999999</v>
      </c>
      <c r="AG618" s="55">
        <v>12054.64</v>
      </c>
      <c r="AI618" s="55">
        <v>80504.62</v>
      </c>
      <c r="AK618" s="55">
        <v>92559.26</v>
      </c>
      <c r="AL618" s="8">
        <f>+'Gen Rev'!AI619-'Gen Exp'!AE618+'Gen Exp'!AI618-AK618</f>
        <v>0</v>
      </c>
      <c r="AM618" s="21" t="str">
        <f>'Gen Rev'!A619</f>
        <v>Vanlue</v>
      </c>
      <c r="AN618" s="67" t="str">
        <f t="shared" si="34"/>
        <v>Vanlue</v>
      </c>
      <c r="AO618" s="67" t="b">
        <f t="shared" si="35"/>
        <v>1</v>
      </c>
    </row>
    <row r="619" spans="1:41" x14ac:dyDescent="0.2">
      <c r="A619" s="1" t="s">
        <v>535</v>
      </c>
      <c r="C619" s="1" t="s">
        <v>532</v>
      </c>
      <c r="E619" s="48">
        <v>4166.24</v>
      </c>
      <c r="F619" s="48"/>
      <c r="G619" s="48">
        <v>707.24</v>
      </c>
      <c r="H619" s="48"/>
      <c r="I619" s="48">
        <v>2162.9299999999998</v>
      </c>
      <c r="J619" s="48"/>
      <c r="K619" s="48">
        <v>0</v>
      </c>
      <c r="L619" s="48"/>
      <c r="M619" s="48">
        <v>0</v>
      </c>
      <c r="N619" s="48"/>
      <c r="O619" s="48">
        <v>200</v>
      </c>
      <c r="P619" s="48"/>
      <c r="Q619" s="48">
        <v>10978.43</v>
      </c>
      <c r="R619" s="48"/>
      <c r="S619" s="48">
        <v>0</v>
      </c>
      <c r="T619" s="48"/>
      <c r="U619" s="48">
        <v>0</v>
      </c>
      <c r="V619" s="48"/>
      <c r="W619" s="48">
        <v>0</v>
      </c>
      <c r="X619" s="48"/>
      <c r="Y619" s="48">
        <v>0</v>
      </c>
      <c r="Z619" s="48"/>
      <c r="AA619" s="48">
        <v>0</v>
      </c>
      <c r="AB619" s="48"/>
      <c r="AC619" s="48">
        <v>0</v>
      </c>
      <c r="AD619" s="48"/>
      <c r="AE619" s="48">
        <f t="shared" si="36"/>
        <v>18214.84</v>
      </c>
      <c r="AG619" s="55">
        <v>-5839.77</v>
      </c>
      <c r="AI619" s="55">
        <v>28841.72</v>
      </c>
      <c r="AK619" s="55">
        <v>23001.95</v>
      </c>
      <c r="AL619" s="8">
        <f>+'Gen Rev'!AI620-'Gen Exp'!AE619+'Gen Exp'!AI619-AK619</f>
        <v>0</v>
      </c>
      <c r="AM619" s="21" t="str">
        <f>'Gen Rev'!A620</f>
        <v>Venedocia</v>
      </c>
      <c r="AN619" s="67" t="str">
        <f t="shared" si="34"/>
        <v>Venedocia</v>
      </c>
      <c r="AO619" s="67" t="b">
        <f t="shared" si="35"/>
        <v>1</v>
      </c>
    </row>
    <row r="620" spans="1:41" x14ac:dyDescent="0.2">
      <c r="A620" s="1" t="s">
        <v>474</v>
      </c>
      <c r="C620" s="1" t="s">
        <v>472</v>
      </c>
      <c r="D620" s="6"/>
      <c r="E620" s="48">
        <v>0</v>
      </c>
      <c r="F620" s="48"/>
      <c r="G620" s="48">
        <v>0</v>
      </c>
      <c r="H620" s="48"/>
      <c r="I620" s="48">
        <v>0</v>
      </c>
      <c r="J620" s="48"/>
      <c r="K620" s="48">
        <v>1156</v>
      </c>
      <c r="L620" s="48"/>
      <c r="M620" s="48">
        <v>0</v>
      </c>
      <c r="N620" s="48"/>
      <c r="O620" s="48">
        <v>111</v>
      </c>
      <c r="P620" s="48"/>
      <c r="Q620" s="48">
        <v>30853</v>
      </c>
      <c r="R620" s="48"/>
      <c r="S620" s="48">
        <v>0</v>
      </c>
      <c r="T620" s="48"/>
      <c r="U620" s="48">
        <v>0</v>
      </c>
      <c r="V620" s="48"/>
      <c r="W620" s="48">
        <v>0</v>
      </c>
      <c r="X620" s="48"/>
      <c r="Y620" s="48">
        <v>259</v>
      </c>
      <c r="Z620" s="48"/>
      <c r="AA620" s="48">
        <v>0</v>
      </c>
      <c r="AB620" s="48"/>
      <c r="AC620" s="48">
        <v>0</v>
      </c>
      <c r="AD620" s="48"/>
      <c r="AE620" s="48">
        <f t="shared" si="36"/>
        <v>32379</v>
      </c>
      <c r="AF620" s="48"/>
      <c r="AG620" s="59"/>
      <c r="AH620" s="59"/>
      <c r="AI620" s="59"/>
      <c r="AJ620" s="59"/>
      <c r="AK620" s="59"/>
      <c r="AL620" s="8">
        <f>+'Gen Rev'!AI621-'Gen Exp'!AE620+'Gen Exp'!AI620-AK620</f>
        <v>31208</v>
      </c>
      <c r="AM620" s="21" t="str">
        <f>'Gen Rev'!A621</f>
        <v>Verona</v>
      </c>
      <c r="AN620" s="67" t="str">
        <f t="shared" si="34"/>
        <v>Verona</v>
      </c>
      <c r="AO620" s="67" t="b">
        <f t="shared" si="35"/>
        <v>1</v>
      </c>
    </row>
    <row r="621" spans="1:41" x14ac:dyDescent="0.2">
      <c r="A621" s="1" t="s">
        <v>315</v>
      </c>
      <c r="C621" s="1" t="s">
        <v>306</v>
      </c>
      <c r="E621" s="48">
        <v>478033</v>
      </c>
      <c r="F621" s="48"/>
      <c r="G621" s="48">
        <v>15065</v>
      </c>
      <c r="H621" s="48"/>
      <c r="I621" s="48">
        <v>0</v>
      </c>
      <c r="J621" s="48"/>
      <c r="K621" s="48">
        <v>23198</v>
      </c>
      <c r="L621" s="48"/>
      <c r="M621" s="48">
        <v>0</v>
      </c>
      <c r="N621" s="48"/>
      <c r="O621" s="48">
        <v>0</v>
      </c>
      <c r="P621" s="48"/>
      <c r="Q621" s="48">
        <v>190954</v>
      </c>
      <c r="R621" s="48"/>
      <c r="S621" s="48">
        <v>56312</v>
      </c>
      <c r="T621" s="48"/>
      <c r="U621" s="48">
        <v>0</v>
      </c>
      <c r="V621" s="48"/>
      <c r="W621" s="48">
        <v>0</v>
      </c>
      <c r="X621" s="48"/>
      <c r="Y621" s="48">
        <v>1083385</v>
      </c>
      <c r="Z621" s="48"/>
      <c r="AA621" s="48">
        <v>0</v>
      </c>
      <c r="AB621" s="48"/>
      <c r="AC621" s="48">
        <v>18021</v>
      </c>
      <c r="AD621" s="48"/>
      <c r="AE621" s="48">
        <f t="shared" ref="AE621:AE662" si="37">SUM(E621:AC621)</f>
        <v>1864968</v>
      </c>
      <c r="AF621" s="48"/>
      <c r="AG621" s="59"/>
      <c r="AH621" s="59"/>
      <c r="AI621" s="59"/>
      <c r="AJ621" s="59"/>
      <c r="AK621" s="59"/>
      <c r="AL621" s="8">
        <f>+'Gen Rev'!AI622-'Gen Exp'!AE621+'Gen Exp'!AI621-AK621</f>
        <v>189677</v>
      </c>
      <c r="AM621" s="21" t="str">
        <f>'Gen Rev'!A622</f>
        <v>Versailles</v>
      </c>
      <c r="AN621" s="67" t="str">
        <f t="shared" si="34"/>
        <v>Versailles</v>
      </c>
      <c r="AO621" s="67" t="b">
        <f t="shared" si="35"/>
        <v>1</v>
      </c>
    </row>
    <row r="622" spans="1:41" x14ac:dyDescent="0.2">
      <c r="A622" s="1" t="s">
        <v>77</v>
      </c>
      <c r="C622" s="1" t="s">
        <v>338</v>
      </c>
      <c r="E622" s="48">
        <v>31384.36</v>
      </c>
      <c r="F622" s="48"/>
      <c r="G622" s="48">
        <v>34406.769999999997</v>
      </c>
      <c r="H622" s="48"/>
      <c r="I622" s="48">
        <v>15025.05</v>
      </c>
      <c r="J622" s="48"/>
      <c r="K622" s="48">
        <v>0</v>
      </c>
      <c r="L622" s="48"/>
      <c r="M622" s="48">
        <v>4298.5600000000004</v>
      </c>
      <c r="N622" s="48"/>
      <c r="O622" s="48">
        <v>0</v>
      </c>
      <c r="P622" s="48"/>
      <c r="Q622" s="48">
        <v>32999.57</v>
      </c>
      <c r="R622" s="48"/>
      <c r="S622" s="48">
        <v>0</v>
      </c>
      <c r="T622" s="48"/>
      <c r="U622" s="48">
        <v>0</v>
      </c>
      <c r="V622" s="48"/>
      <c r="W622" s="48">
        <v>0</v>
      </c>
      <c r="X622" s="48"/>
      <c r="Y622" s="48">
        <v>0</v>
      </c>
      <c r="Z622" s="48"/>
      <c r="AA622" s="48">
        <v>0</v>
      </c>
      <c r="AB622" s="48"/>
      <c r="AC622" s="48">
        <v>0</v>
      </c>
      <c r="AD622" s="48"/>
      <c r="AE622" s="48">
        <f t="shared" si="37"/>
        <v>118114.31</v>
      </c>
      <c r="AG622" s="55">
        <v>-26120.75</v>
      </c>
      <c r="AI622" s="55">
        <v>27962.99</v>
      </c>
      <c r="AK622" s="55">
        <v>1842.24</v>
      </c>
      <c r="AL622" s="8">
        <f>+'Gen Rev'!AI623-'Gen Exp'!AE622+'Gen Exp'!AI622-AK622</f>
        <v>0</v>
      </c>
      <c r="AM622" s="21" t="str">
        <f>'Gen Rev'!A623</f>
        <v>Vinton</v>
      </c>
      <c r="AN622" s="67" t="str">
        <f t="shared" si="34"/>
        <v>Vinton</v>
      </c>
      <c r="AO622" s="67" t="b">
        <f t="shared" si="35"/>
        <v>1</v>
      </c>
    </row>
    <row r="623" spans="1:41" x14ac:dyDescent="0.2">
      <c r="A623" s="1" t="s">
        <v>404</v>
      </c>
      <c r="C623" s="1" t="s">
        <v>399</v>
      </c>
      <c r="E623" s="48">
        <v>531398</v>
      </c>
      <c r="F623" s="48"/>
      <c r="G623" s="48">
        <v>14403</v>
      </c>
      <c r="H623" s="48"/>
      <c r="I623" s="48">
        <v>0</v>
      </c>
      <c r="J623" s="48"/>
      <c r="K623" s="48">
        <v>7851</v>
      </c>
      <c r="L623" s="48"/>
      <c r="M623" s="48">
        <v>35617</v>
      </c>
      <c r="N623" s="48"/>
      <c r="O623" s="48">
        <v>302883</v>
      </c>
      <c r="P623" s="48"/>
      <c r="Q623" s="48">
        <v>241671</v>
      </c>
      <c r="R623" s="48"/>
      <c r="S623" s="48">
        <v>0</v>
      </c>
      <c r="T623" s="48"/>
      <c r="U623" s="48">
        <v>0</v>
      </c>
      <c r="V623" s="48"/>
      <c r="W623" s="48">
        <v>0</v>
      </c>
      <c r="X623" s="48"/>
      <c r="Y623" s="48">
        <v>60000</v>
      </c>
      <c r="Z623" s="48"/>
      <c r="AA623" s="48">
        <v>0</v>
      </c>
      <c r="AB623" s="48"/>
      <c r="AC623" s="48">
        <v>0</v>
      </c>
      <c r="AD623" s="48"/>
      <c r="AE623" s="48">
        <f t="shared" si="37"/>
        <v>1193823</v>
      </c>
      <c r="AF623" s="48"/>
      <c r="AG623" s="59"/>
      <c r="AH623" s="59"/>
      <c r="AI623" s="59"/>
      <c r="AJ623" s="59"/>
      <c r="AK623" s="59"/>
      <c r="AL623" s="8">
        <f>+'Gen Rev'!AI624-'Gen Exp'!AE623+'Gen Exp'!AI623-AK623</f>
        <v>80146</v>
      </c>
      <c r="AM623" s="21" t="str">
        <f>'Gen Rev'!A624</f>
        <v>Waite Hill</v>
      </c>
      <c r="AN623" s="67" t="str">
        <f t="shared" si="34"/>
        <v>Waite Hill</v>
      </c>
      <c r="AO623" s="67" t="b">
        <f t="shared" si="35"/>
        <v>1</v>
      </c>
    </row>
    <row r="624" spans="1:41" x14ac:dyDescent="0.2">
      <c r="A624" s="1" t="s">
        <v>389</v>
      </c>
      <c r="C624" s="1" t="s">
        <v>386</v>
      </c>
      <c r="E624" s="48">
        <v>108715.55</v>
      </c>
      <c r="F624" s="48"/>
      <c r="G624" s="48">
        <v>949.24</v>
      </c>
      <c r="H624" s="48"/>
      <c r="I624" s="48">
        <v>31708.57</v>
      </c>
      <c r="J624" s="48"/>
      <c r="K624" s="48">
        <v>1385.4</v>
      </c>
      <c r="L624" s="48"/>
      <c r="M624" s="48">
        <v>3695.34</v>
      </c>
      <c r="N624" s="48"/>
      <c r="O624" s="48">
        <v>0</v>
      </c>
      <c r="P624" s="48"/>
      <c r="Q624" s="48">
        <v>119474.47</v>
      </c>
      <c r="R624" s="48"/>
      <c r="S624" s="48">
        <v>0</v>
      </c>
      <c r="T624" s="48"/>
      <c r="U624" s="48">
        <v>0</v>
      </c>
      <c r="V624" s="48"/>
      <c r="W624" s="48">
        <v>0</v>
      </c>
      <c r="X624" s="48"/>
      <c r="Y624" s="48">
        <v>105100</v>
      </c>
      <c r="Z624" s="48"/>
      <c r="AA624" s="48">
        <v>0</v>
      </c>
      <c r="AB624" s="48"/>
      <c r="AC624" s="48">
        <v>0</v>
      </c>
      <c r="AD624" s="48"/>
      <c r="AE624" s="48">
        <f t="shared" si="37"/>
        <v>371028.57</v>
      </c>
      <c r="AG624" s="55">
        <v>-65491.56</v>
      </c>
      <c r="AI624" s="55">
        <v>389336.33</v>
      </c>
      <c r="AK624" s="55">
        <v>323844.77</v>
      </c>
      <c r="AL624" s="8">
        <f>+'Gen Rev'!AI625-'Gen Exp'!AE624+'Gen Exp'!AI624-AK624</f>
        <v>0</v>
      </c>
      <c r="AM624" s="21" t="str">
        <f>'Gen Rev'!A625</f>
        <v>Wakeman</v>
      </c>
      <c r="AN624" s="67" t="str">
        <f t="shared" si="34"/>
        <v>Wakeman</v>
      </c>
      <c r="AO624" s="67" t="b">
        <f t="shared" si="35"/>
        <v>1</v>
      </c>
    </row>
    <row r="625" spans="1:41" x14ac:dyDescent="0.2">
      <c r="A625" s="1" t="s">
        <v>243</v>
      </c>
      <c r="C625" s="1" t="s">
        <v>558</v>
      </c>
      <c r="E625" s="48">
        <v>447309.01</v>
      </c>
      <c r="F625" s="48"/>
      <c r="G625" s="48">
        <v>1858.22</v>
      </c>
      <c r="H625" s="48"/>
      <c r="I625" s="48">
        <v>66670.179999999993</v>
      </c>
      <c r="J625" s="48"/>
      <c r="K625" s="48">
        <v>0</v>
      </c>
      <c r="L625" s="48"/>
      <c r="M625" s="48">
        <v>0</v>
      </c>
      <c r="N625" s="48"/>
      <c r="O625" s="48">
        <v>14014.17</v>
      </c>
      <c r="P625" s="48"/>
      <c r="Q625" s="48">
        <v>527928.9</v>
      </c>
      <c r="R625" s="48"/>
      <c r="S625" s="48">
        <v>0</v>
      </c>
      <c r="T625" s="48"/>
      <c r="U625" s="48">
        <v>0</v>
      </c>
      <c r="V625" s="48"/>
      <c r="W625" s="48">
        <v>0</v>
      </c>
      <c r="X625" s="48"/>
      <c r="Y625" s="48">
        <v>0</v>
      </c>
      <c r="Z625" s="48"/>
      <c r="AA625" s="48">
        <v>0</v>
      </c>
      <c r="AB625" s="48"/>
      <c r="AC625" s="48">
        <v>0</v>
      </c>
      <c r="AD625" s="48"/>
      <c r="AE625" s="48">
        <f t="shared" si="37"/>
        <v>1057780.48</v>
      </c>
      <c r="AG625" s="55">
        <v>-224141.36</v>
      </c>
      <c r="AI625" s="55">
        <v>241500.02</v>
      </c>
      <c r="AK625" s="55">
        <v>17358.66</v>
      </c>
      <c r="AL625" s="8">
        <f>+'Gen Rev'!AI626-'Gen Exp'!AE625+'Gen Exp'!AI625-AK625</f>
        <v>0</v>
      </c>
      <c r="AM625" s="21" t="str">
        <f>'Gen Rev'!A626</f>
        <v>Walbridge</v>
      </c>
      <c r="AN625" s="67" t="str">
        <f t="shared" si="34"/>
        <v>Walbridge</v>
      </c>
      <c r="AO625" s="67" t="b">
        <f t="shared" si="35"/>
        <v>1</v>
      </c>
    </row>
    <row r="626" spans="1:41" x14ac:dyDescent="0.2">
      <c r="A626" s="1" t="s">
        <v>141</v>
      </c>
      <c r="C626" s="1" t="s">
        <v>430</v>
      </c>
      <c r="E626" s="48">
        <v>7476.13</v>
      </c>
      <c r="F626" s="48"/>
      <c r="G626" s="48">
        <v>877.76</v>
      </c>
      <c r="H626" s="48"/>
      <c r="I626" s="48">
        <v>0</v>
      </c>
      <c r="J626" s="48"/>
      <c r="K626" s="48">
        <v>1227.77</v>
      </c>
      <c r="L626" s="48"/>
      <c r="M626" s="48">
        <v>35374.18</v>
      </c>
      <c r="N626" s="48"/>
      <c r="O626" s="48">
        <v>2963.18</v>
      </c>
      <c r="P626" s="48"/>
      <c r="Q626" s="48">
        <v>35961.31</v>
      </c>
      <c r="R626" s="48"/>
      <c r="S626" s="48">
        <v>0</v>
      </c>
      <c r="T626" s="48"/>
      <c r="U626" s="48">
        <v>0</v>
      </c>
      <c r="V626" s="48"/>
      <c r="W626" s="48">
        <v>0</v>
      </c>
      <c r="X626" s="48"/>
      <c r="Y626" s="48">
        <v>0</v>
      </c>
      <c r="Z626" s="48"/>
      <c r="AA626" s="48">
        <v>0</v>
      </c>
      <c r="AB626" s="48"/>
      <c r="AC626" s="48">
        <v>0</v>
      </c>
      <c r="AD626" s="48"/>
      <c r="AE626" s="48">
        <f t="shared" si="37"/>
        <v>83880.329999999987</v>
      </c>
      <c r="AG626" s="55">
        <v>-26745.200000000001</v>
      </c>
      <c r="AI626" s="55">
        <v>273403.24</v>
      </c>
      <c r="AK626" s="55">
        <v>246658.04</v>
      </c>
      <c r="AL626" s="8">
        <f>+'Gen Rev'!AI627-'Gen Exp'!AE626+'Gen Exp'!AI626-AK626</f>
        <v>0</v>
      </c>
      <c r="AM626" s="21" t="str">
        <f>'Gen Rev'!A627</f>
        <v>Waldo</v>
      </c>
      <c r="AN626" s="67" t="str">
        <f t="shared" si="34"/>
        <v>Waldo</v>
      </c>
      <c r="AO626" s="67" t="b">
        <f t="shared" si="35"/>
        <v>1</v>
      </c>
    </row>
    <row r="627" spans="1:41" x14ac:dyDescent="0.2">
      <c r="A627" s="1" t="s">
        <v>48</v>
      </c>
      <c r="C627" s="1" t="s">
        <v>293</v>
      </c>
      <c r="E627" s="48">
        <v>2296532.66</v>
      </c>
      <c r="F627" s="48"/>
      <c r="G627" s="48">
        <v>10004.94</v>
      </c>
      <c r="H627" s="48"/>
      <c r="I627" s="48">
        <v>180880.98</v>
      </c>
      <c r="J627" s="48"/>
      <c r="K627" s="48">
        <v>89311.72</v>
      </c>
      <c r="L627" s="48"/>
      <c r="M627" s="48">
        <v>250786.27</v>
      </c>
      <c r="N627" s="48"/>
      <c r="O627" s="48">
        <v>161213.98000000001</v>
      </c>
      <c r="P627" s="48"/>
      <c r="Q627" s="48">
        <v>757558.93</v>
      </c>
      <c r="R627" s="48"/>
      <c r="S627" s="48">
        <v>0</v>
      </c>
      <c r="T627" s="48"/>
      <c r="U627" s="48">
        <v>0</v>
      </c>
      <c r="V627" s="48"/>
      <c r="W627" s="48">
        <v>0</v>
      </c>
      <c r="X627" s="48"/>
      <c r="Y627" s="48">
        <v>528300</v>
      </c>
      <c r="Z627" s="48"/>
      <c r="AA627" s="48">
        <v>0</v>
      </c>
      <c r="AB627" s="48"/>
      <c r="AC627" s="48">
        <v>0</v>
      </c>
      <c r="AD627" s="48"/>
      <c r="AE627" s="48">
        <f t="shared" si="37"/>
        <v>4274589.4800000004</v>
      </c>
      <c r="AG627" s="55">
        <v>-12880.2</v>
      </c>
      <c r="AI627" s="55">
        <v>1991830.55</v>
      </c>
      <c r="AK627" s="55">
        <v>1978950.35</v>
      </c>
      <c r="AL627" s="8">
        <f>+'Gen Rev'!AI628-'Gen Exp'!AE627+'Gen Exp'!AI627-AK627</f>
        <v>0</v>
      </c>
      <c r="AM627" s="21" t="str">
        <f>'Gen Rev'!A628</f>
        <v>Walton Hills</v>
      </c>
      <c r="AN627" s="67" t="str">
        <f t="shared" si="34"/>
        <v>Walton Hills</v>
      </c>
      <c r="AO627" s="67" t="b">
        <f t="shared" si="35"/>
        <v>1</v>
      </c>
    </row>
    <row r="628" spans="1:41" x14ac:dyDescent="0.2">
      <c r="A628" s="1" t="s">
        <v>718</v>
      </c>
      <c r="C628" s="1" t="s">
        <v>285</v>
      </c>
      <c r="E628" s="48">
        <v>38360.89</v>
      </c>
      <c r="F628" s="48"/>
      <c r="G628" s="48">
        <v>34.1</v>
      </c>
      <c r="H628" s="48"/>
      <c r="I628" s="48">
        <v>266.04000000000002</v>
      </c>
      <c r="J628" s="48"/>
      <c r="K628" s="48">
        <v>15496.18</v>
      </c>
      <c r="L628" s="48"/>
      <c r="M628" s="48">
        <v>16828.27</v>
      </c>
      <c r="N628" s="48"/>
      <c r="O628" s="48">
        <v>0</v>
      </c>
      <c r="P628" s="48"/>
      <c r="Q628" s="48">
        <v>50211.199999999997</v>
      </c>
      <c r="R628" s="48"/>
      <c r="S628" s="48">
        <v>0</v>
      </c>
      <c r="T628" s="48"/>
      <c r="U628" s="48">
        <v>0</v>
      </c>
      <c r="V628" s="48"/>
      <c r="W628" s="48">
        <v>0</v>
      </c>
      <c r="X628" s="48"/>
      <c r="Y628" s="48">
        <v>0</v>
      </c>
      <c r="Z628" s="48"/>
      <c r="AA628" s="48">
        <v>0</v>
      </c>
      <c r="AB628" s="48"/>
      <c r="AC628" s="48">
        <v>0</v>
      </c>
      <c r="AD628" s="48"/>
      <c r="AE628" s="48">
        <f t="shared" si="37"/>
        <v>121196.68</v>
      </c>
      <c r="AG628" s="55">
        <v>-17713.580000000002</v>
      </c>
      <c r="AI628" s="55">
        <v>185346.57</v>
      </c>
      <c r="AK628" s="55">
        <v>167632.99</v>
      </c>
      <c r="AL628" s="8">
        <f>+'Gen Rev'!AI629-'Gen Exp'!AE628+'Gen Exp'!AI628-AK628</f>
        <v>0</v>
      </c>
      <c r="AM628" s="21" t="str">
        <f>'Gen Rev'!A629</f>
        <v>Warsaw</v>
      </c>
      <c r="AN628" s="67" t="str">
        <f t="shared" si="34"/>
        <v>Warsaw</v>
      </c>
      <c r="AO628" s="67" t="b">
        <f t="shared" si="35"/>
        <v>1</v>
      </c>
    </row>
    <row r="629" spans="1:41" x14ac:dyDescent="0.2">
      <c r="A629" s="1" t="s">
        <v>46</v>
      </c>
      <c r="C629" s="1" t="s">
        <v>283</v>
      </c>
      <c r="E629" s="48">
        <v>33116.83</v>
      </c>
      <c r="F629" s="48"/>
      <c r="G629" s="48">
        <v>683.82</v>
      </c>
      <c r="H629" s="48"/>
      <c r="I629" s="48">
        <v>0</v>
      </c>
      <c r="J629" s="48"/>
      <c r="K629" s="48">
        <v>0</v>
      </c>
      <c r="L629" s="48"/>
      <c r="M629" s="48">
        <v>0</v>
      </c>
      <c r="N629" s="48"/>
      <c r="O629" s="48">
        <v>0</v>
      </c>
      <c r="P629" s="48"/>
      <c r="Q629" s="48">
        <v>53854.06</v>
      </c>
      <c r="R629" s="48"/>
      <c r="S629" s="48">
        <v>31988.68</v>
      </c>
      <c r="T629" s="48"/>
      <c r="U629" s="48">
        <v>0</v>
      </c>
      <c r="V629" s="48"/>
      <c r="W629" s="48">
        <v>0</v>
      </c>
      <c r="X629" s="48"/>
      <c r="Y629" s="48">
        <v>0</v>
      </c>
      <c r="Z629" s="48"/>
      <c r="AA629" s="48">
        <v>0</v>
      </c>
      <c r="AB629" s="48"/>
      <c r="AC629" s="48">
        <v>0</v>
      </c>
      <c r="AD629" s="48"/>
      <c r="AE629" s="48">
        <f t="shared" si="37"/>
        <v>119643.38999999998</v>
      </c>
      <c r="AG629" s="55">
        <v>10250.11</v>
      </c>
      <c r="AI629" s="55">
        <v>75092.960000000006</v>
      </c>
      <c r="AK629" s="55">
        <v>85343.07</v>
      </c>
      <c r="AL629" s="8">
        <f>+'Gen Rev'!AI630-'Gen Exp'!AE629+'Gen Exp'!AI629-AK629</f>
        <v>0</v>
      </c>
      <c r="AM629" s="21" t="str">
        <f>'Gen Rev'!A630</f>
        <v>Washingtonville</v>
      </c>
      <c r="AN629" s="67" t="str">
        <f t="shared" ref="AN629:AN681" si="38">A629</f>
        <v>Washingtonville</v>
      </c>
      <c r="AO629" s="67" t="b">
        <f t="shared" ref="AO629:AO681" si="39">AM629=AN629</f>
        <v>1</v>
      </c>
    </row>
    <row r="630" spans="1:41" x14ac:dyDescent="0.2">
      <c r="A630" s="1" t="s">
        <v>836</v>
      </c>
      <c r="C630" s="1" t="s">
        <v>469</v>
      </c>
      <c r="E630" s="48">
        <v>85347</v>
      </c>
      <c r="F630" s="48"/>
      <c r="G630" s="48">
        <v>1470</v>
      </c>
      <c r="H630" s="48"/>
      <c r="I630" s="48">
        <v>151540</v>
      </c>
      <c r="J630" s="48"/>
      <c r="K630" s="48">
        <v>0</v>
      </c>
      <c r="L630" s="48"/>
      <c r="M630" s="48">
        <v>0</v>
      </c>
      <c r="N630" s="48"/>
      <c r="O630" s="48">
        <v>0</v>
      </c>
      <c r="P630" s="48"/>
      <c r="Q630" s="48">
        <v>695241</v>
      </c>
      <c r="R630" s="48"/>
      <c r="S630" s="48">
        <v>0</v>
      </c>
      <c r="T630" s="48"/>
      <c r="U630" s="48">
        <v>0</v>
      </c>
      <c r="V630" s="48"/>
      <c r="W630" s="48">
        <v>0</v>
      </c>
      <c r="X630" s="48"/>
      <c r="Y630" s="48">
        <v>835343</v>
      </c>
      <c r="Z630" s="48"/>
      <c r="AA630" s="48">
        <v>0</v>
      </c>
      <c r="AB630" s="48"/>
      <c r="AC630" s="48">
        <v>0</v>
      </c>
      <c r="AD630" s="48"/>
      <c r="AE630" s="48">
        <f t="shared" si="37"/>
        <v>1768941</v>
      </c>
      <c r="AF630" s="48"/>
      <c r="AG630" s="59"/>
      <c r="AH630" s="59"/>
      <c r="AI630" s="59"/>
      <c r="AJ630" s="59"/>
      <c r="AK630" s="59"/>
      <c r="AL630" s="8">
        <f>+'Gen Rev'!AI631-'Gen Exp'!AE630+'Gen Exp'!AI630-AK630</f>
        <v>151089</v>
      </c>
      <c r="AM630" s="21" t="str">
        <f>'Gen Rev'!A631</f>
        <v>Waverly</v>
      </c>
      <c r="AN630" s="67" t="str">
        <f t="shared" si="38"/>
        <v>Waverly</v>
      </c>
      <c r="AO630" s="67" t="b">
        <f t="shared" si="39"/>
        <v>1</v>
      </c>
    </row>
    <row r="631" spans="1:41" x14ac:dyDescent="0.2">
      <c r="A631" s="1" t="s">
        <v>547</v>
      </c>
      <c r="C631" s="1" t="s">
        <v>558</v>
      </c>
      <c r="E631" s="48">
        <v>0</v>
      </c>
      <c r="F631" s="48"/>
      <c r="G631" s="48">
        <v>432.02</v>
      </c>
      <c r="H631" s="48"/>
      <c r="I631" s="48">
        <v>1519.4</v>
      </c>
      <c r="J631" s="48"/>
      <c r="K631" s="48">
        <v>8950</v>
      </c>
      <c r="L631" s="48"/>
      <c r="M631" s="48">
        <v>2004.4</v>
      </c>
      <c r="N631" s="48"/>
      <c r="O631" s="48">
        <v>0</v>
      </c>
      <c r="P631" s="48"/>
      <c r="Q631" s="48">
        <v>63391.8</v>
      </c>
      <c r="R631" s="48"/>
      <c r="S631" s="48">
        <v>0</v>
      </c>
      <c r="T631" s="48"/>
      <c r="U631" s="48">
        <v>0</v>
      </c>
      <c r="V631" s="48"/>
      <c r="W631" s="48">
        <v>0</v>
      </c>
      <c r="X631" s="48"/>
      <c r="Y631" s="48">
        <v>0</v>
      </c>
      <c r="Z631" s="48"/>
      <c r="AA631" s="48">
        <v>0</v>
      </c>
      <c r="AB631" s="48"/>
      <c r="AC631" s="48">
        <v>0</v>
      </c>
      <c r="AD631" s="48"/>
      <c r="AE631" s="48">
        <f t="shared" si="37"/>
        <v>76297.62</v>
      </c>
      <c r="AG631" s="55">
        <v>-8628.82</v>
      </c>
      <c r="AI631" s="55">
        <v>24904.98</v>
      </c>
      <c r="AK631" s="55">
        <v>16276.16</v>
      </c>
      <c r="AL631" s="8">
        <f>+'Gen Rev'!AI632-'Gen Exp'!AE631+'Gen Exp'!AI631-AK631</f>
        <v>0</v>
      </c>
      <c r="AM631" s="21" t="str">
        <f>'Gen Rev'!A632</f>
        <v>Wayne</v>
      </c>
      <c r="AN631" s="67" t="str">
        <f t="shared" si="38"/>
        <v>Wayne</v>
      </c>
      <c r="AO631" s="67" t="b">
        <f t="shared" si="39"/>
        <v>1</v>
      </c>
    </row>
    <row r="632" spans="1:41" x14ac:dyDescent="0.2">
      <c r="A632" s="1" t="s">
        <v>316</v>
      </c>
      <c r="C632" s="1" t="s">
        <v>306</v>
      </c>
      <c r="D632" s="67"/>
      <c r="E632" s="48">
        <v>2975</v>
      </c>
      <c r="F632" s="48"/>
      <c r="G632" s="48">
        <v>1572</v>
      </c>
      <c r="H632" s="48"/>
      <c r="I632" s="48">
        <v>50631</v>
      </c>
      <c r="J632" s="48"/>
      <c r="K632" s="48">
        <v>928</v>
      </c>
      <c r="L632" s="48"/>
      <c r="M632" s="48">
        <v>14634</v>
      </c>
      <c r="N632" s="48"/>
      <c r="O632" s="48">
        <v>0</v>
      </c>
      <c r="P632" s="48"/>
      <c r="Q632" s="48">
        <v>34007</v>
      </c>
      <c r="R632" s="48"/>
      <c r="S632" s="48">
        <v>18472</v>
      </c>
      <c r="T632" s="48"/>
      <c r="U632" s="48">
        <v>6086</v>
      </c>
      <c r="V632" s="48"/>
      <c r="W632" s="48">
        <v>0</v>
      </c>
      <c r="X632" s="48"/>
      <c r="Y632" s="48">
        <v>18000</v>
      </c>
      <c r="Z632" s="48"/>
      <c r="AA632" s="48">
        <v>0</v>
      </c>
      <c r="AB632" s="48"/>
      <c r="AC632" s="48">
        <v>0</v>
      </c>
      <c r="AD632" s="48"/>
      <c r="AE632" s="48">
        <f t="shared" si="37"/>
        <v>147305</v>
      </c>
      <c r="AF632" s="48"/>
      <c r="AG632" s="59"/>
      <c r="AH632" s="59"/>
      <c r="AI632" s="59"/>
      <c r="AJ632" s="59"/>
      <c r="AK632" s="59"/>
      <c r="AL632" s="8">
        <f>+'Gen Rev'!AI633-'Gen Exp'!AE632+'Gen Exp'!AI632-AK632</f>
        <v>655</v>
      </c>
      <c r="AM632" s="21" t="str">
        <f>'Gen Rev'!A633</f>
        <v>Wayne Lakes</v>
      </c>
      <c r="AN632" s="67" t="str">
        <f t="shared" si="38"/>
        <v>Wayne Lakes</v>
      </c>
      <c r="AO632" s="67" t="b">
        <f t="shared" si="39"/>
        <v>1</v>
      </c>
    </row>
    <row r="633" spans="1:41" x14ac:dyDescent="0.2">
      <c r="A633" s="1" t="s">
        <v>509</v>
      </c>
      <c r="C633" s="1" t="s">
        <v>502</v>
      </c>
      <c r="E633" s="48">
        <v>36207</v>
      </c>
      <c r="F633" s="48"/>
      <c r="G633" s="48">
        <v>0</v>
      </c>
      <c r="H633" s="48"/>
      <c r="I633" s="48">
        <v>0</v>
      </c>
      <c r="J633" s="48"/>
      <c r="K633" s="48">
        <v>0</v>
      </c>
      <c r="L633" s="48"/>
      <c r="M633" s="48">
        <v>0</v>
      </c>
      <c r="N633" s="48"/>
      <c r="O633" s="48">
        <v>0</v>
      </c>
      <c r="P633" s="48"/>
      <c r="Q633" s="48">
        <v>69038</v>
      </c>
      <c r="R633" s="48"/>
      <c r="S633" s="48">
        <v>0</v>
      </c>
      <c r="T633" s="48"/>
      <c r="U633" s="48">
        <v>0</v>
      </c>
      <c r="V633" s="48"/>
      <c r="W633" s="48">
        <v>0</v>
      </c>
      <c r="X633" s="48"/>
      <c r="Y633" s="48">
        <v>0</v>
      </c>
      <c r="Z633" s="48"/>
      <c r="AA633" s="48">
        <v>0</v>
      </c>
      <c r="AB633" s="48"/>
      <c r="AC633" s="48">
        <v>0</v>
      </c>
      <c r="AD633" s="48"/>
      <c r="AE633" s="48">
        <f t="shared" si="37"/>
        <v>105245</v>
      </c>
      <c r="AF633" s="48"/>
      <c r="AG633" s="59"/>
      <c r="AH633" s="59"/>
      <c r="AI633" s="59"/>
      <c r="AJ633" s="59"/>
      <c r="AK633" s="59"/>
      <c r="AL633" s="8">
        <f>+'Gen Rev'!AI634-'Gen Exp'!AE633+'Gen Exp'!AI633-AK633</f>
        <v>-8043</v>
      </c>
      <c r="AM633" s="21" t="str">
        <f>'Gen Rev'!A634</f>
        <v>Waynesburg</v>
      </c>
      <c r="AN633" s="67" t="str">
        <f t="shared" si="38"/>
        <v>Waynesburg</v>
      </c>
      <c r="AO633" s="67" t="b">
        <f t="shared" si="39"/>
        <v>1</v>
      </c>
    </row>
    <row r="634" spans="1:41" x14ac:dyDescent="0.2">
      <c r="A634" s="1" t="s">
        <v>14</v>
      </c>
      <c r="C634" s="1" t="s">
        <v>257</v>
      </c>
      <c r="E634" s="48">
        <v>81085.77</v>
      </c>
      <c r="F634" s="48"/>
      <c r="G634" s="48">
        <v>29.26</v>
      </c>
      <c r="H634" s="48"/>
      <c r="I634" s="48">
        <v>6787.13</v>
      </c>
      <c r="J634" s="48"/>
      <c r="K634" s="48">
        <v>0</v>
      </c>
      <c r="L634" s="48"/>
      <c r="M634" s="48">
        <v>0</v>
      </c>
      <c r="N634" s="48"/>
      <c r="O634" s="48">
        <v>6444.4</v>
      </c>
      <c r="P634" s="48"/>
      <c r="Q634" s="48">
        <v>145092.57</v>
      </c>
      <c r="R634" s="48"/>
      <c r="S634" s="48">
        <v>24000</v>
      </c>
      <c r="T634" s="48"/>
      <c r="U634" s="48">
        <v>3989.74</v>
      </c>
      <c r="V634" s="48"/>
      <c r="W634" s="48">
        <v>0</v>
      </c>
      <c r="X634" s="48"/>
      <c r="Y634" s="48">
        <v>0</v>
      </c>
      <c r="Z634" s="48"/>
      <c r="AA634" s="48">
        <v>0</v>
      </c>
      <c r="AB634" s="48"/>
      <c r="AC634" s="48">
        <v>0</v>
      </c>
      <c r="AD634" s="48"/>
      <c r="AE634" s="48">
        <f t="shared" si="37"/>
        <v>267428.87</v>
      </c>
      <c r="AG634" s="55">
        <v>-6992.2</v>
      </c>
      <c r="AI634" s="55">
        <v>162781.78</v>
      </c>
      <c r="AK634" s="55">
        <v>155789.57999999999</v>
      </c>
      <c r="AL634" s="8">
        <f>+'Gen Rev'!AI635-'Gen Exp'!AE634+'Gen Exp'!AI634-AK634</f>
        <v>0</v>
      </c>
      <c r="AM634" s="21" t="str">
        <f>'Gen Rev'!A635</f>
        <v>Waynesfield</v>
      </c>
      <c r="AN634" s="67" t="str">
        <f t="shared" si="38"/>
        <v>Waynesfield</v>
      </c>
      <c r="AO634" s="67" t="b">
        <f t="shared" si="39"/>
        <v>1</v>
      </c>
    </row>
    <row r="635" spans="1:41" x14ac:dyDescent="0.2">
      <c r="A635" s="1" t="s">
        <v>543</v>
      </c>
      <c r="C635" s="1" t="s">
        <v>541</v>
      </c>
      <c r="E635" s="48">
        <v>10198</v>
      </c>
      <c r="F635" s="48"/>
      <c r="G635" s="48">
        <v>853</v>
      </c>
      <c r="H635" s="48"/>
      <c r="I635" s="48">
        <v>0</v>
      </c>
      <c r="J635" s="48"/>
      <c r="K635" s="48">
        <v>0</v>
      </c>
      <c r="L635" s="48"/>
      <c r="M635" s="48">
        <v>0</v>
      </c>
      <c r="N635" s="48"/>
      <c r="O635" s="48">
        <v>16286</v>
      </c>
      <c r="P635" s="48"/>
      <c r="Q635" s="48">
        <v>233076</v>
      </c>
      <c r="R635" s="48"/>
      <c r="S635" s="48">
        <v>0</v>
      </c>
      <c r="T635" s="48"/>
      <c r="U635" s="48">
        <v>239700</v>
      </c>
      <c r="V635" s="48"/>
      <c r="W635" s="48">
        <v>18706</v>
      </c>
      <c r="X635" s="48"/>
      <c r="Y635" s="48">
        <v>0</v>
      </c>
      <c r="Z635" s="48"/>
      <c r="AA635" s="48">
        <v>0</v>
      </c>
      <c r="AB635" s="48"/>
      <c r="AC635" s="48">
        <v>0</v>
      </c>
      <c r="AD635" s="48"/>
      <c r="AE635" s="48">
        <f t="shared" si="37"/>
        <v>518819</v>
      </c>
      <c r="AF635" s="48"/>
      <c r="AG635" s="59"/>
      <c r="AH635" s="59"/>
      <c r="AI635" s="59"/>
      <c r="AJ635" s="59"/>
      <c r="AK635" s="59"/>
      <c r="AL635" s="8">
        <f>+'Gen Rev'!AI636-'Gen Exp'!AE635+'Gen Exp'!AI635-AK635</f>
        <v>349494</v>
      </c>
      <c r="AM635" s="21" t="str">
        <f>'Gen Rev'!A636</f>
        <v>Waynesville</v>
      </c>
      <c r="AN635" s="67" t="str">
        <f t="shared" si="38"/>
        <v>Waynesville</v>
      </c>
      <c r="AO635" s="67" t="b">
        <f t="shared" si="39"/>
        <v>1</v>
      </c>
    </row>
    <row r="636" spans="1:41" x14ac:dyDescent="0.2">
      <c r="A636" s="1" t="s">
        <v>421</v>
      </c>
      <c r="C636" s="1" t="s">
        <v>419</v>
      </c>
      <c r="E636" s="48">
        <v>1045691</v>
      </c>
      <c r="F636" s="48"/>
      <c r="G636" s="48">
        <v>4775</v>
      </c>
      <c r="H636" s="48"/>
      <c r="I636" s="48">
        <v>46776</v>
      </c>
      <c r="J636" s="48"/>
      <c r="K636" s="48">
        <v>121042</v>
      </c>
      <c r="L636" s="48"/>
      <c r="M636" s="48">
        <v>0</v>
      </c>
      <c r="N636" s="48"/>
      <c r="O636" s="48">
        <v>678650</v>
      </c>
      <c r="P636" s="48"/>
      <c r="Q636" s="48">
        <v>399917</v>
      </c>
      <c r="R636" s="48"/>
      <c r="S636" s="48">
        <v>427000</v>
      </c>
      <c r="T636" s="48"/>
      <c r="U636" s="48">
        <v>0</v>
      </c>
      <c r="V636" s="48"/>
      <c r="W636" s="48">
        <v>0</v>
      </c>
      <c r="X636" s="48"/>
      <c r="Y636" s="48">
        <v>0</v>
      </c>
      <c r="Z636" s="48"/>
      <c r="AA636" s="48">
        <v>0</v>
      </c>
      <c r="AB636" s="48"/>
      <c r="AC636" s="48">
        <v>0</v>
      </c>
      <c r="AD636" s="48"/>
      <c r="AE636" s="48">
        <f t="shared" si="37"/>
        <v>2723851</v>
      </c>
      <c r="AF636" s="48"/>
      <c r="AG636" s="59"/>
      <c r="AH636" s="59"/>
      <c r="AI636" s="59"/>
      <c r="AJ636" s="59"/>
      <c r="AK636" s="59"/>
      <c r="AL636" s="8">
        <f>+'Gen Rev'!AI637-'Gen Exp'!AE636+'Gen Exp'!AI636-AK636</f>
        <v>-561166</v>
      </c>
      <c r="AM636" s="21" t="str">
        <f>'Gen Rev'!A637</f>
        <v>Wellington</v>
      </c>
      <c r="AN636" s="67" t="str">
        <f t="shared" si="38"/>
        <v>Wellington</v>
      </c>
      <c r="AO636" s="67" t="b">
        <f t="shared" si="39"/>
        <v>1</v>
      </c>
    </row>
    <row r="637" spans="1:41" x14ac:dyDescent="0.2">
      <c r="A637" s="1" t="s">
        <v>284</v>
      </c>
      <c r="C637" s="1" t="s">
        <v>283</v>
      </c>
      <c r="E637" s="48">
        <v>560477.91</v>
      </c>
      <c r="F637" s="48"/>
      <c r="G637" s="48">
        <v>0</v>
      </c>
      <c r="H637" s="48"/>
      <c r="I637" s="48">
        <v>6410.28</v>
      </c>
      <c r="J637" s="48"/>
      <c r="K637" s="48">
        <v>0</v>
      </c>
      <c r="L637" s="48"/>
      <c r="M637" s="48">
        <v>0</v>
      </c>
      <c r="N637" s="48"/>
      <c r="O637" s="48">
        <v>0</v>
      </c>
      <c r="P637" s="48"/>
      <c r="Q637" s="48">
        <v>344892.49</v>
      </c>
      <c r="R637" s="48"/>
      <c r="S637" s="48">
        <v>35853.18</v>
      </c>
      <c r="T637" s="48"/>
      <c r="U637" s="48">
        <v>0</v>
      </c>
      <c r="V637" s="48"/>
      <c r="W637" s="48">
        <v>0</v>
      </c>
      <c r="X637" s="48"/>
      <c r="Y637" s="48">
        <v>200000</v>
      </c>
      <c r="Z637" s="48"/>
      <c r="AA637" s="48">
        <v>125000</v>
      </c>
      <c r="AB637" s="48"/>
      <c r="AC637" s="48">
        <v>0</v>
      </c>
      <c r="AD637" s="48"/>
      <c r="AE637" s="48">
        <f t="shared" si="37"/>
        <v>1272633.8600000001</v>
      </c>
      <c r="AG637" s="55">
        <v>-495158.76</v>
      </c>
      <c r="AI637" s="55">
        <v>964354.14</v>
      </c>
      <c r="AK637" s="55">
        <v>469195.38</v>
      </c>
      <c r="AL637" s="8">
        <f>+'Gen Rev'!AI638-'Gen Exp'!AE637+'Gen Exp'!AI637-AK637</f>
        <v>0</v>
      </c>
      <c r="AM637" s="21" t="str">
        <f>'Gen Rev'!A638</f>
        <v>Wellsville</v>
      </c>
      <c r="AN637" s="67" t="str">
        <f t="shared" si="38"/>
        <v>Wellsville</v>
      </c>
      <c r="AO637" s="67" t="b">
        <f t="shared" si="39"/>
        <v>1</v>
      </c>
    </row>
    <row r="638" spans="1:41" x14ac:dyDescent="0.2">
      <c r="A638" s="1" t="s">
        <v>475</v>
      </c>
      <c r="C638" s="1" t="s">
        <v>472</v>
      </c>
      <c r="E638" s="48">
        <v>236340</v>
      </c>
      <c r="F638" s="48"/>
      <c r="G638" s="48">
        <v>2584</v>
      </c>
      <c r="H638" s="48"/>
      <c r="I638" s="48">
        <v>23486</v>
      </c>
      <c r="J638" s="48"/>
      <c r="K638" s="48">
        <v>5762</v>
      </c>
      <c r="L638" s="48"/>
      <c r="M638" s="48">
        <v>0</v>
      </c>
      <c r="N638" s="48"/>
      <c r="O638" s="48">
        <v>0</v>
      </c>
      <c r="P638" s="48"/>
      <c r="Q638" s="48">
        <v>417079</v>
      </c>
      <c r="R638" s="48"/>
      <c r="S638" s="48">
        <v>0</v>
      </c>
      <c r="T638" s="48"/>
      <c r="U638" s="48">
        <v>0</v>
      </c>
      <c r="V638" s="48"/>
      <c r="W638" s="48">
        <v>0</v>
      </c>
      <c r="X638" s="48"/>
      <c r="Y638" s="48">
        <v>0</v>
      </c>
      <c r="Z638" s="48"/>
      <c r="AA638" s="48">
        <v>0</v>
      </c>
      <c r="AB638" s="48"/>
      <c r="AC638" s="48">
        <v>0</v>
      </c>
      <c r="AD638" s="48"/>
      <c r="AE638" s="48">
        <f t="shared" si="37"/>
        <v>685251</v>
      </c>
      <c r="AF638" s="48"/>
      <c r="AG638" s="59"/>
      <c r="AH638" s="59"/>
      <c r="AI638" s="59"/>
      <c r="AJ638" s="59"/>
      <c r="AK638" s="59"/>
      <c r="AL638" s="8">
        <f>+'Gen Rev'!AI639-'Gen Exp'!AE638+'Gen Exp'!AI638-AK638</f>
        <v>22679</v>
      </c>
      <c r="AM638" s="21" t="str">
        <f>'Gen Rev'!A639</f>
        <v>West Alexandria</v>
      </c>
      <c r="AN638" s="67" t="str">
        <f t="shared" si="38"/>
        <v>West Alexandria</v>
      </c>
      <c r="AO638" s="67" t="b">
        <f t="shared" si="39"/>
        <v>1</v>
      </c>
    </row>
    <row r="639" spans="1:41" x14ac:dyDescent="0.2">
      <c r="A639" s="1" t="s">
        <v>811</v>
      </c>
      <c r="C639" s="1" t="s">
        <v>472</v>
      </c>
      <c r="E639" s="48">
        <v>100</v>
      </c>
      <c r="F639" s="48"/>
      <c r="G639" s="48">
        <v>0</v>
      </c>
      <c r="H639" s="48"/>
      <c r="I639" s="48">
        <v>0</v>
      </c>
      <c r="J639" s="48"/>
      <c r="K639" s="48">
        <v>0</v>
      </c>
      <c r="L639" s="48"/>
      <c r="M639" s="48">
        <v>0</v>
      </c>
      <c r="N639" s="48"/>
      <c r="O639" s="48">
        <v>0</v>
      </c>
      <c r="P639" s="48"/>
      <c r="Q639" s="48">
        <v>43005.24</v>
      </c>
      <c r="R639" s="48"/>
      <c r="S639" s="48">
        <v>0</v>
      </c>
      <c r="T639" s="48"/>
      <c r="U639" s="48">
        <v>0</v>
      </c>
      <c r="V639" s="48"/>
      <c r="W639" s="48">
        <v>0</v>
      </c>
      <c r="X639" s="48"/>
      <c r="Y639" s="48">
        <v>0</v>
      </c>
      <c r="Z639" s="48"/>
      <c r="AA639" s="48">
        <v>0</v>
      </c>
      <c r="AB639" s="48"/>
      <c r="AC639" s="48">
        <v>0</v>
      </c>
      <c r="AD639" s="48"/>
      <c r="AE639" s="48">
        <f t="shared" si="37"/>
        <v>43105.24</v>
      </c>
      <c r="AG639" s="55">
        <v>3532.66</v>
      </c>
      <c r="AI639" s="55">
        <v>60829.06</v>
      </c>
      <c r="AK639" s="55">
        <v>64361.72</v>
      </c>
      <c r="AL639" s="8">
        <f>+'Gen Rev'!AI640-'Gen Exp'!AE639+'Gen Exp'!AI639-AK639</f>
        <v>0</v>
      </c>
      <c r="AM639" s="21" t="str">
        <f>'Gen Rev'!A640</f>
        <v>West Elkton</v>
      </c>
      <c r="AN639" s="67" t="str">
        <f t="shared" si="38"/>
        <v>West Elkton</v>
      </c>
      <c r="AO639" s="67" t="b">
        <f t="shared" si="39"/>
        <v>1</v>
      </c>
    </row>
    <row r="640" spans="1:41" x14ac:dyDescent="0.2">
      <c r="A640" s="1" t="s">
        <v>215</v>
      </c>
      <c r="C640" s="1" t="s">
        <v>518</v>
      </c>
      <c r="E640" s="48">
        <v>0</v>
      </c>
      <c r="F640" s="48"/>
      <c r="G640" s="48">
        <v>0</v>
      </c>
      <c r="H640" s="48"/>
      <c r="I640" s="48">
        <v>10363.969999999999</v>
      </c>
      <c r="J640" s="48"/>
      <c r="K640" s="48">
        <v>0</v>
      </c>
      <c r="L640" s="48"/>
      <c r="M640" s="48">
        <v>0</v>
      </c>
      <c r="N640" s="48"/>
      <c r="O640" s="48">
        <v>0</v>
      </c>
      <c r="P640" s="48"/>
      <c r="Q640" s="48">
        <v>51265.19</v>
      </c>
      <c r="R640" s="48"/>
      <c r="S640" s="48">
        <v>0</v>
      </c>
      <c r="T640" s="48"/>
      <c r="U640" s="48">
        <v>0</v>
      </c>
      <c r="V640" s="48"/>
      <c r="W640" s="48">
        <v>0</v>
      </c>
      <c r="X640" s="48"/>
      <c r="Y640" s="48">
        <v>15092.54</v>
      </c>
      <c r="Z640" s="48"/>
      <c r="AA640" s="48">
        <v>500</v>
      </c>
      <c r="AB640" s="48"/>
      <c r="AC640" s="48">
        <v>0</v>
      </c>
      <c r="AD640" s="48"/>
      <c r="AE640" s="48">
        <f t="shared" si="37"/>
        <v>77221.700000000012</v>
      </c>
      <c r="AG640" s="55">
        <v>22429.05</v>
      </c>
      <c r="AI640" s="55">
        <v>7907.36</v>
      </c>
      <c r="AK640" s="55">
        <v>30336.41</v>
      </c>
      <c r="AL640" s="8">
        <f>+'Gen Rev'!AI641-'Gen Exp'!AE640+'Gen Exp'!AI640-AK640</f>
        <v>0</v>
      </c>
      <c r="AM640" s="21" t="str">
        <f>'Gen Rev'!A641</f>
        <v>West Farmington</v>
      </c>
      <c r="AN640" s="67" t="str">
        <f t="shared" si="38"/>
        <v>West Farmington</v>
      </c>
      <c r="AO640" s="67" t="b">
        <f t="shared" si="39"/>
        <v>1</v>
      </c>
    </row>
    <row r="641" spans="1:41" x14ac:dyDescent="0.2">
      <c r="A641" s="1" t="s">
        <v>812</v>
      </c>
      <c r="C641" s="1" t="s">
        <v>401</v>
      </c>
      <c r="E641" s="48">
        <v>1268239.42</v>
      </c>
      <c r="F641" s="48"/>
      <c r="G641" s="48">
        <v>0</v>
      </c>
      <c r="H641" s="48"/>
      <c r="I641" s="48">
        <v>37011.089999999997</v>
      </c>
      <c r="J641" s="48"/>
      <c r="K641" s="48">
        <v>54021.23</v>
      </c>
      <c r="L641" s="48"/>
      <c r="M641" s="48">
        <v>0</v>
      </c>
      <c r="N641" s="48"/>
      <c r="O641" s="48">
        <v>750000</v>
      </c>
      <c r="P641" s="48"/>
      <c r="Q641" s="48">
        <v>664796.56000000006</v>
      </c>
      <c r="R641" s="48"/>
      <c r="S641" s="48">
        <v>0</v>
      </c>
      <c r="T641" s="48"/>
      <c r="U641" s="48">
        <v>78165.789999999994</v>
      </c>
      <c r="V641" s="48"/>
      <c r="W641" s="48">
        <v>10366.629999999999</v>
      </c>
      <c r="X641" s="48"/>
      <c r="Y641" s="48">
        <v>15000</v>
      </c>
      <c r="Z641" s="48"/>
      <c r="AA641" s="48">
        <v>0</v>
      </c>
      <c r="AB641" s="48"/>
      <c r="AC641" s="48">
        <v>20349.5</v>
      </c>
      <c r="AD641" s="48"/>
      <c r="AE641" s="48">
        <f t="shared" si="37"/>
        <v>2897950.22</v>
      </c>
      <c r="AG641" s="55">
        <v>383196.63</v>
      </c>
      <c r="AI641" s="55">
        <v>687331.17</v>
      </c>
      <c r="AK641" s="55">
        <v>1070527.8</v>
      </c>
      <c r="AL641" s="8">
        <f>+'Gen Rev'!AI642-'Gen Exp'!AE641+'Gen Exp'!AI641-AK641</f>
        <v>0</v>
      </c>
      <c r="AM641" s="21" t="str">
        <f>'Gen Rev'!A642</f>
        <v>West Jefferson</v>
      </c>
      <c r="AN641" s="67" t="str">
        <f t="shared" si="38"/>
        <v>West Jefferson</v>
      </c>
      <c r="AO641" s="67" t="b">
        <f t="shared" si="39"/>
        <v>1</v>
      </c>
    </row>
    <row r="642" spans="1:41" x14ac:dyDescent="0.2">
      <c r="A642" s="1" t="s">
        <v>287</v>
      </c>
      <c r="C642" s="1" t="s">
        <v>285</v>
      </c>
      <c r="E642" s="48">
        <v>317924</v>
      </c>
      <c r="F642" s="48"/>
      <c r="G642" s="48">
        <v>4945</v>
      </c>
      <c r="H642" s="48"/>
      <c r="I642" s="48">
        <v>0</v>
      </c>
      <c r="J642" s="48"/>
      <c r="K642" s="48">
        <v>1929</v>
      </c>
      <c r="L642" s="48"/>
      <c r="M642" s="48">
        <v>4399</v>
      </c>
      <c r="N642" s="48"/>
      <c r="O642" s="48">
        <v>0</v>
      </c>
      <c r="P642" s="48"/>
      <c r="Q642" s="48">
        <v>118739</v>
      </c>
      <c r="R642" s="48"/>
      <c r="S642" s="48">
        <v>0</v>
      </c>
      <c r="T642" s="48"/>
      <c r="U642" s="48">
        <v>0</v>
      </c>
      <c r="V642" s="48"/>
      <c r="W642" s="48">
        <v>0</v>
      </c>
      <c r="X642" s="48"/>
      <c r="Y642" s="48"/>
      <c r="Z642" s="48"/>
      <c r="AA642" s="48">
        <v>0</v>
      </c>
      <c r="AB642" s="48"/>
      <c r="AC642" s="48">
        <v>0</v>
      </c>
      <c r="AD642" s="48"/>
      <c r="AE642" s="48">
        <f t="shared" si="37"/>
        <v>447936</v>
      </c>
      <c r="AF642" s="48"/>
      <c r="AG642" s="59"/>
      <c r="AH642" s="59"/>
      <c r="AI642" s="59"/>
      <c r="AJ642" s="59"/>
      <c r="AK642" s="59"/>
      <c r="AL642" s="8">
        <f>+'Gen Rev'!AI643-'Gen Exp'!AE642+'Gen Exp'!AI642-AK642</f>
        <v>28743</v>
      </c>
      <c r="AM642" s="21" t="str">
        <f>'Gen Rev'!A643</f>
        <v>West Lafayette</v>
      </c>
      <c r="AN642" s="67" t="str">
        <f t="shared" si="38"/>
        <v>West Lafayette</v>
      </c>
      <c r="AO642" s="67" t="b">
        <f t="shared" si="39"/>
        <v>1</v>
      </c>
    </row>
    <row r="643" spans="1:41" x14ac:dyDescent="0.2">
      <c r="A643" s="1" t="s">
        <v>778</v>
      </c>
      <c r="C643" s="1" t="s">
        <v>476</v>
      </c>
      <c r="E643" s="48">
        <v>18276.88</v>
      </c>
      <c r="F643" s="48"/>
      <c r="G643" s="48">
        <v>0</v>
      </c>
      <c r="H643" s="48"/>
      <c r="I643" s="48">
        <v>0</v>
      </c>
      <c r="J643" s="48"/>
      <c r="K643" s="48">
        <v>0</v>
      </c>
      <c r="L643" s="48"/>
      <c r="M643" s="48">
        <v>1325</v>
      </c>
      <c r="N643" s="48"/>
      <c r="O643" s="48">
        <v>6775</v>
      </c>
      <c r="P643" s="48"/>
      <c r="Q643" s="48">
        <v>27645.41</v>
      </c>
      <c r="R643" s="48"/>
      <c r="S643" s="48">
        <v>0</v>
      </c>
      <c r="T643" s="48"/>
      <c r="U643" s="48">
        <v>0</v>
      </c>
      <c r="V643" s="48"/>
      <c r="W643" s="48">
        <v>0</v>
      </c>
      <c r="X643" s="48"/>
      <c r="Y643" s="48">
        <v>3000</v>
      </c>
      <c r="Z643" s="48"/>
      <c r="AA643" s="48">
        <v>0</v>
      </c>
      <c r="AB643" s="48"/>
      <c r="AC643" s="48">
        <v>34.99</v>
      </c>
      <c r="AD643" s="48"/>
      <c r="AE643" s="48">
        <f t="shared" si="37"/>
        <v>57057.279999999999</v>
      </c>
      <c r="AG643" s="55">
        <v>-19029.7</v>
      </c>
      <c r="AI643" s="55">
        <v>74583.62</v>
      </c>
      <c r="AK643" s="55">
        <v>55553.919999999998</v>
      </c>
      <c r="AL643" s="8">
        <f>+'Gen Rev'!AI644-'Gen Exp'!AE643+'Gen Exp'!AI643-AK643</f>
        <v>0</v>
      </c>
      <c r="AM643" s="21" t="str">
        <f>'Gen Rev'!A644</f>
        <v>West Leipsic</v>
      </c>
      <c r="AN643" s="67" t="str">
        <f t="shared" si="38"/>
        <v>West Leipsic</v>
      </c>
      <c r="AO643" s="67" t="b">
        <f t="shared" si="39"/>
        <v>1</v>
      </c>
    </row>
    <row r="644" spans="1:41" x14ac:dyDescent="0.2">
      <c r="A644" s="1" t="s">
        <v>126</v>
      </c>
      <c r="C644" s="1" t="s">
        <v>414</v>
      </c>
      <c r="E644" s="48">
        <v>317908.03000000003</v>
      </c>
      <c r="F644" s="48"/>
      <c r="G644" s="48">
        <v>0</v>
      </c>
      <c r="H644" s="48"/>
      <c r="I644" s="48">
        <v>9904.0300000000007</v>
      </c>
      <c r="J644" s="48"/>
      <c r="K644" s="48">
        <v>2178.69</v>
      </c>
      <c r="L644" s="48"/>
      <c r="M644" s="48">
        <v>0</v>
      </c>
      <c r="N644" s="48"/>
      <c r="O644" s="48">
        <v>0</v>
      </c>
      <c r="P644" s="48"/>
      <c r="Q644" s="48">
        <v>163617.79999999999</v>
      </c>
      <c r="R644" s="48"/>
      <c r="S644" s="48">
        <v>0</v>
      </c>
      <c r="T644" s="48"/>
      <c r="U644" s="48">
        <v>16600</v>
      </c>
      <c r="V644" s="48"/>
      <c r="W644" s="48">
        <v>1983.08</v>
      </c>
      <c r="X644" s="48"/>
      <c r="Y644" s="48">
        <v>1019.7</v>
      </c>
      <c r="Z644" s="48"/>
      <c r="AA644" s="48">
        <v>0</v>
      </c>
      <c r="AB644" s="48"/>
      <c r="AC644" s="48">
        <v>17297.7</v>
      </c>
      <c r="AD644" s="48"/>
      <c r="AE644" s="48">
        <f t="shared" si="37"/>
        <v>530509.03</v>
      </c>
      <c r="AG644" s="55">
        <v>26592.880000000001</v>
      </c>
      <c r="AI644" s="55">
        <v>304498.74</v>
      </c>
      <c r="AK644" s="55">
        <v>331091.62</v>
      </c>
      <c r="AL644" s="8">
        <f>+'Gen Rev'!AI645-'Gen Exp'!AE644+'Gen Exp'!AI644-AK644</f>
        <v>0</v>
      </c>
      <c r="AM644" s="21" t="str">
        <f>'Gen Rev'!A645</f>
        <v>West Liberty</v>
      </c>
      <c r="AN644" s="67" t="str">
        <f t="shared" si="38"/>
        <v>West Liberty</v>
      </c>
      <c r="AO644" s="67" t="b">
        <f t="shared" si="39"/>
        <v>1</v>
      </c>
    </row>
    <row r="645" spans="1:41" ht="12.75" x14ac:dyDescent="0.2">
      <c r="A645" s="1" t="s">
        <v>779</v>
      </c>
      <c r="C645" s="1" t="s">
        <v>472</v>
      </c>
      <c r="D645" s="7"/>
      <c r="E645" s="48">
        <v>6248</v>
      </c>
      <c r="F645" s="48"/>
      <c r="G645" s="48">
        <v>0</v>
      </c>
      <c r="H645" s="48"/>
      <c r="I645" s="48">
        <v>0</v>
      </c>
      <c r="J645" s="48"/>
      <c r="K645" s="48">
        <v>0</v>
      </c>
      <c r="L645" s="48"/>
      <c r="M645" s="48">
        <v>0</v>
      </c>
      <c r="N645" s="48"/>
      <c r="O645" s="48">
        <v>3748</v>
      </c>
      <c r="P645" s="48"/>
      <c r="Q645" s="48">
        <v>24897</v>
      </c>
      <c r="R645" s="48"/>
      <c r="S645" s="48">
        <v>0</v>
      </c>
      <c r="T645" s="48"/>
      <c r="U645" s="48">
        <v>0</v>
      </c>
      <c r="V645" s="48"/>
      <c r="W645" s="48">
        <v>0</v>
      </c>
      <c r="X645" s="48"/>
      <c r="Y645" s="48"/>
      <c r="Z645" s="48"/>
      <c r="AA645" s="48">
        <v>0</v>
      </c>
      <c r="AB645" s="48"/>
      <c r="AC645" s="48">
        <v>0</v>
      </c>
      <c r="AD645" s="48"/>
      <c r="AE645" s="48">
        <f t="shared" si="37"/>
        <v>34893</v>
      </c>
      <c r="AF645" s="48"/>
      <c r="AG645" s="59"/>
      <c r="AH645" s="59"/>
      <c r="AI645" s="59"/>
      <c r="AJ645" s="59"/>
      <c r="AK645" s="59"/>
      <c r="AL645" s="8">
        <f>+'Gen Rev'!AI646-'Gen Exp'!AE645+'Gen Exp'!AI645-AK645</f>
        <v>3267</v>
      </c>
      <c r="AM645" s="21" t="str">
        <f>'Gen Rev'!A646</f>
        <v>West Manchester</v>
      </c>
      <c r="AN645" s="67" t="str">
        <f t="shared" si="38"/>
        <v>West Manchester</v>
      </c>
      <c r="AO645" s="67" t="b">
        <f t="shared" si="39"/>
        <v>1</v>
      </c>
    </row>
    <row r="646" spans="1:41" x14ac:dyDescent="0.2">
      <c r="A646" s="1" t="s">
        <v>813</v>
      </c>
      <c r="C646" s="1" t="s">
        <v>414</v>
      </c>
      <c r="E646" s="48">
        <v>0</v>
      </c>
      <c r="F646" s="48"/>
      <c r="G646" s="48">
        <v>4139.84</v>
      </c>
      <c r="H646" s="48"/>
      <c r="I646" s="48">
        <v>10271.15</v>
      </c>
      <c r="J646" s="48"/>
      <c r="K646" s="48">
        <v>2946.14</v>
      </c>
      <c r="L646" s="48"/>
      <c r="M646" s="48">
        <v>0</v>
      </c>
      <c r="N646" s="48"/>
      <c r="O646" s="48">
        <v>0</v>
      </c>
      <c r="P646" s="48"/>
      <c r="Q646" s="48">
        <v>74614.759999999995</v>
      </c>
      <c r="R646" s="48"/>
      <c r="S646" s="48">
        <v>0</v>
      </c>
      <c r="T646" s="48"/>
      <c r="U646" s="48">
        <v>0</v>
      </c>
      <c r="V646" s="48"/>
      <c r="W646" s="48">
        <v>0</v>
      </c>
      <c r="X646" s="48"/>
      <c r="Y646" s="48">
        <v>23215.06</v>
      </c>
      <c r="Z646" s="48"/>
      <c r="AA646" s="48">
        <v>0</v>
      </c>
      <c r="AB646" s="48"/>
      <c r="AC646" s="48">
        <v>0</v>
      </c>
      <c r="AD646" s="48"/>
      <c r="AE646" s="48">
        <f t="shared" si="37"/>
        <v>115186.95</v>
      </c>
      <c r="AG646" s="55">
        <v>57922.44</v>
      </c>
      <c r="AI646" s="55">
        <v>60037.48</v>
      </c>
      <c r="AK646" s="55">
        <v>117959.92</v>
      </c>
      <c r="AL646" s="8">
        <f>+'Gen Rev'!AI647-'Gen Exp'!AE646+'Gen Exp'!AI646-AK646</f>
        <v>0</v>
      </c>
      <c r="AM646" s="21" t="str">
        <f>'Gen Rev'!A647</f>
        <v>West Mansfield</v>
      </c>
      <c r="AN646" s="67" t="str">
        <f t="shared" si="38"/>
        <v>West Mansfield</v>
      </c>
      <c r="AO646" s="67" t="b">
        <f t="shared" si="39"/>
        <v>1</v>
      </c>
    </row>
    <row r="647" spans="1:41" x14ac:dyDescent="0.2">
      <c r="A647" s="1" t="s">
        <v>244</v>
      </c>
      <c r="C647" s="1" t="s">
        <v>558</v>
      </c>
      <c r="E647" s="48">
        <v>5233.6000000000004</v>
      </c>
      <c r="F647" s="48"/>
      <c r="G647" s="48">
        <v>0</v>
      </c>
      <c r="H647" s="48"/>
      <c r="I647" s="48">
        <v>14.05</v>
      </c>
      <c r="J647" s="48"/>
      <c r="K647" s="48">
        <v>0</v>
      </c>
      <c r="L647" s="48"/>
      <c r="M647" s="48">
        <v>0</v>
      </c>
      <c r="N647" s="48"/>
      <c r="O647" s="48">
        <v>0</v>
      </c>
      <c r="P647" s="48"/>
      <c r="Q647" s="48">
        <v>24928.17</v>
      </c>
      <c r="R647" s="48"/>
      <c r="S647" s="48">
        <v>0</v>
      </c>
      <c r="T647" s="48"/>
      <c r="U647" s="48">
        <v>0</v>
      </c>
      <c r="V647" s="48"/>
      <c r="W647" s="48">
        <v>0</v>
      </c>
      <c r="X647" s="48"/>
      <c r="Y647" s="48">
        <v>0</v>
      </c>
      <c r="Z647" s="48"/>
      <c r="AA647" s="48">
        <v>0</v>
      </c>
      <c r="AB647" s="48"/>
      <c r="AC647" s="48">
        <v>1494.97</v>
      </c>
      <c r="AD647" s="48"/>
      <c r="AE647" s="48">
        <f t="shared" si="37"/>
        <v>31670.79</v>
      </c>
      <c r="AG647" s="55">
        <v>-3078.7</v>
      </c>
      <c r="AI647" s="55">
        <v>14956.4</v>
      </c>
      <c r="AK647" s="55">
        <v>11877.7</v>
      </c>
      <c r="AL647" s="8">
        <f>+'Gen Rev'!AI648-'Gen Exp'!AE647+'Gen Exp'!AI647-AK647</f>
        <v>0</v>
      </c>
      <c r="AM647" s="21" t="str">
        <f>'Gen Rev'!A648</f>
        <v>West Millgrove</v>
      </c>
      <c r="AN647" s="67" t="str">
        <f t="shared" si="38"/>
        <v>West Millgrove</v>
      </c>
      <c r="AO647" s="67" t="b">
        <f t="shared" si="39"/>
        <v>1</v>
      </c>
    </row>
    <row r="648" spans="1:41" x14ac:dyDescent="0.2">
      <c r="A648" s="1" t="s">
        <v>439</v>
      </c>
      <c r="C648" s="1" t="s">
        <v>437</v>
      </c>
      <c r="E648" s="48">
        <v>989268</v>
      </c>
      <c r="F648" s="48"/>
      <c r="G648" s="48">
        <v>0</v>
      </c>
      <c r="H648" s="48"/>
      <c r="I648" s="48">
        <v>6221</v>
      </c>
      <c r="J648" s="48"/>
      <c r="K648" s="48">
        <v>1235</v>
      </c>
      <c r="L648" s="48"/>
      <c r="M648" s="48">
        <v>0</v>
      </c>
      <c r="N648" s="48"/>
      <c r="O648" s="48">
        <v>0</v>
      </c>
      <c r="P648" s="48"/>
      <c r="Q648" s="48">
        <v>530751</v>
      </c>
      <c r="R648" s="48"/>
      <c r="S648" s="48">
        <v>124368</v>
      </c>
      <c r="T648" s="48"/>
      <c r="U648" s="48">
        <v>0</v>
      </c>
      <c r="V648" s="48"/>
      <c r="W648" s="48">
        <v>0</v>
      </c>
      <c r="X648" s="48"/>
      <c r="Y648" s="48">
        <v>58500</v>
      </c>
      <c r="Z648" s="48"/>
      <c r="AA648" s="48">
        <v>0</v>
      </c>
      <c r="AB648" s="48"/>
      <c r="AC648" s="48">
        <v>0</v>
      </c>
      <c r="AD648" s="48"/>
      <c r="AE648" s="48">
        <f t="shared" si="37"/>
        <v>1710343</v>
      </c>
      <c r="AF648" s="48"/>
      <c r="AG648" s="59"/>
      <c r="AH648" s="59"/>
      <c r="AI648" s="59"/>
      <c r="AJ648" s="59"/>
      <c r="AK648" s="59"/>
      <c r="AL648" s="8">
        <f>+'Gen Rev'!AI649-'Gen Exp'!AE648+'Gen Exp'!AI648-AK648</f>
        <v>-164592</v>
      </c>
      <c r="AM648" s="21" t="str">
        <f>'Gen Rev'!A649</f>
        <v>West Milton</v>
      </c>
      <c r="AN648" s="67" t="str">
        <f t="shared" si="38"/>
        <v>West Milton</v>
      </c>
      <c r="AO648" s="67" t="b">
        <f t="shared" si="39"/>
        <v>1</v>
      </c>
    </row>
    <row r="649" spans="1:41" x14ac:dyDescent="0.2">
      <c r="A649" s="1" t="s">
        <v>328</v>
      </c>
      <c r="C649" s="1" t="s">
        <v>327</v>
      </c>
      <c r="D649" s="67"/>
      <c r="E649" s="48">
        <v>0</v>
      </c>
      <c r="F649" s="48"/>
      <c r="G649" s="48">
        <v>0</v>
      </c>
      <c r="H649" s="48"/>
      <c r="I649" s="48">
        <v>0</v>
      </c>
      <c r="J649" s="48"/>
      <c r="K649" s="48">
        <v>0</v>
      </c>
      <c r="L649" s="48"/>
      <c r="M649" s="48">
        <v>533</v>
      </c>
      <c r="N649" s="48"/>
      <c r="O649" s="48">
        <v>0</v>
      </c>
      <c r="P649" s="48"/>
      <c r="Q649" s="48">
        <v>5564</v>
      </c>
      <c r="R649" s="48"/>
      <c r="S649" s="48">
        <v>0</v>
      </c>
      <c r="T649" s="48"/>
      <c r="U649" s="48">
        <v>0</v>
      </c>
      <c r="V649" s="48"/>
      <c r="W649" s="48">
        <v>0</v>
      </c>
      <c r="X649" s="48"/>
      <c r="Y649" s="48">
        <v>0</v>
      </c>
      <c r="Z649" s="48"/>
      <c r="AA649" s="48">
        <v>0</v>
      </c>
      <c r="AB649" s="48"/>
      <c r="AC649" s="48">
        <v>0</v>
      </c>
      <c r="AD649" s="48"/>
      <c r="AE649" s="48">
        <f t="shared" si="37"/>
        <v>6097</v>
      </c>
      <c r="AF649" s="48"/>
      <c r="AG649" s="59"/>
      <c r="AH649" s="59"/>
      <c r="AI649" s="59"/>
      <c r="AJ649" s="59"/>
      <c r="AK649" s="59"/>
      <c r="AL649" s="8">
        <f>+'Gen Rev'!AI650-'Gen Exp'!AE649+'Gen Exp'!AI649-AK649</f>
        <v>4179</v>
      </c>
      <c r="AM649" s="21" t="str">
        <f>'Gen Rev'!A650</f>
        <v>West Rushville</v>
      </c>
      <c r="AN649" s="67" t="str">
        <f t="shared" si="38"/>
        <v>West Rushville</v>
      </c>
      <c r="AO649" s="67" t="b">
        <f t="shared" si="39"/>
        <v>1</v>
      </c>
    </row>
    <row r="650" spans="1:41" x14ac:dyDescent="0.2">
      <c r="A650" s="1" t="s">
        <v>233</v>
      </c>
      <c r="C650" s="1" t="s">
        <v>547</v>
      </c>
      <c r="E650" s="48">
        <v>127194.84</v>
      </c>
      <c r="F650" s="48"/>
      <c r="G650" s="48">
        <v>4256.1499999999996</v>
      </c>
      <c r="H650" s="48"/>
      <c r="I650" s="48">
        <v>62178.86</v>
      </c>
      <c r="J650" s="48"/>
      <c r="K650" s="48">
        <v>4697.67</v>
      </c>
      <c r="L650" s="48"/>
      <c r="M650" s="48">
        <v>0</v>
      </c>
      <c r="N650" s="48"/>
      <c r="O650" s="48">
        <v>0</v>
      </c>
      <c r="P650" s="48"/>
      <c r="Q650" s="48">
        <v>114896.55</v>
      </c>
      <c r="R650" s="48"/>
      <c r="S650" s="48">
        <v>10000</v>
      </c>
      <c r="T650" s="48"/>
      <c r="U650" s="48">
        <v>1293.57</v>
      </c>
      <c r="V650" s="48"/>
      <c r="W650" s="48">
        <v>238.47</v>
      </c>
      <c r="X650" s="48"/>
      <c r="Y650" s="48">
        <v>0</v>
      </c>
      <c r="Z650" s="48"/>
      <c r="AA650" s="48">
        <v>0</v>
      </c>
      <c r="AB650" s="48"/>
      <c r="AC650" s="48">
        <v>0</v>
      </c>
      <c r="AD650" s="48"/>
      <c r="AE650" s="48">
        <f t="shared" si="37"/>
        <v>324756.11</v>
      </c>
      <c r="AG650" s="55">
        <v>5217.13</v>
      </c>
      <c r="AI650" s="55">
        <v>100657.84</v>
      </c>
      <c r="AK650" s="55">
        <v>105874.97</v>
      </c>
      <c r="AL650" s="8">
        <f>+'Gen Rev'!AI651-'Gen Exp'!AE650+'Gen Exp'!AI650-AK650</f>
        <v>0</v>
      </c>
      <c r="AM650" s="21" t="str">
        <f>'Gen Rev'!A651</f>
        <v>West Salem</v>
      </c>
      <c r="AN650" s="67" t="str">
        <f t="shared" si="38"/>
        <v>West Salem</v>
      </c>
      <c r="AO650" s="67" t="b">
        <f t="shared" si="39"/>
        <v>1</v>
      </c>
    </row>
    <row r="651" spans="1:41" x14ac:dyDescent="0.2">
      <c r="A651" s="1" t="s">
        <v>0</v>
      </c>
      <c r="C651" s="1" t="s">
        <v>616</v>
      </c>
      <c r="D651" s="67"/>
      <c r="E651" s="48">
        <v>421195.04</v>
      </c>
      <c r="F651" s="48"/>
      <c r="G651" s="48">
        <v>7282.52</v>
      </c>
      <c r="H651" s="48"/>
      <c r="I651" s="48">
        <v>0</v>
      </c>
      <c r="J651" s="48"/>
      <c r="K651" s="48">
        <v>213.5</v>
      </c>
      <c r="L651" s="48"/>
      <c r="M651" s="48">
        <v>0</v>
      </c>
      <c r="N651" s="48"/>
      <c r="O651" s="48">
        <v>0</v>
      </c>
      <c r="P651" s="48"/>
      <c r="Q651" s="48">
        <v>313327.28000000003</v>
      </c>
      <c r="R651" s="48"/>
      <c r="S651" s="48">
        <v>0</v>
      </c>
      <c r="T651" s="48"/>
      <c r="U651" s="48">
        <v>0</v>
      </c>
      <c r="V651" s="48"/>
      <c r="W651" s="48">
        <v>0</v>
      </c>
      <c r="X651" s="48"/>
      <c r="Y651" s="48">
        <v>0</v>
      </c>
      <c r="Z651" s="48"/>
      <c r="AA651" s="48">
        <v>0</v>
      </c>
      <c r="AB651" s="48"/>
      <c r="AC651" s="48">
        <v>56935.71</v>
      </c>
      <c r="AD651" s="48"/>
      <c r="AE651" s="48">
        <f t="shared" si="37"/>
        <v>798954.05</v>
      </c>
      <c r="AG651" s="55">
        <v>51212.46</v>
      </c>
      <c r="AI651" s="55">
        <v>1304487.3400000001</v>
      </c>
      <c r="AK651" s="55">
        <v>1355699.8</v>
      </c>
      <c r="AL651" s="8">
        <f>+'Gen Rev'!AI652-'Gen Exp'!AE651+'Gen Exp'!AI651-AK651</f>
        <v>0</v>
      </c>
      <c r="AM651" s="21" t="str">
        <f>'Gen Rev'!A652</f>
        <v>West Union</v>
      </c>
      <c r="AN651" s="67" t="str">
        <f t="shared" si="38"/>
        <v>West Union</v>
      </c>
      <c r="AO651" s="67" t="b">
        <f t="shared" si="39"/>
        <v>1</v>
      </c>
    </row>
    <row r="652" spans="1:41" x14ac:dyDescent="0.2">
      <c r="A652" s="1" t="s">
        <v>557</v>
      </c>
      <c r="C652" s="1" t="s">
        <v>554</v>
      </c>
      <c r="E652" s="48">
        <v>310529.34999999998</v>
      </c>
      <c r="F652" s="48"/>
      <c r="G652" s="48">
        <v>0</v>
      </c>
      <c r="H652" s="48"/>
      <c r="I652" s="48">
        <v>0</v>
      </c>
      <c r="J652" s="48"/>
      <c r="K652" s="48">
        <v>2065.2199999999998</v>
      </c>
      <c r="L652" s="48"/>
      <c r="M652" s="48">
        <v>14572.62</v>
      </c>
      <c r="N652" s="48"/>
      <c r="O652" s="48">
        <v>0</v>
      </c>
      <c r="P652" s="48"/>
      <c r="Q652" s="48">
        <v>169800.77</v>
      </c>
      <c r="R652" s="48"/>
      <c r="S652" s="48">
        <v>4019.08</v>
      </c>
      <c r="T652" s="48"/>
      <c r="U652" s="48">
        <v>0</v>
      </c>
      <c r="V652" s="48"/>
      <c r="W652" s="48">
        <v>0</v>
      </c>
      <c r="X652" s="48"/>
      <c r="Y652" s="48">
        <v>0</v>
      </c>
      <c r="Z652" s="48"/>
      <c r="AA652" s="48">
        <v>0</v>
      </c>
      <c r="AB652" s="48"/>
      <c r="AC652" s="48">
        <v>0</v>
      </c>
      <c r="AD652" s="48"/>
      <c r="AE652" s="48">
        <f t="shared" si="37"/>
        <v>500987.04</v>
      </c>
      <c r="AG652" s="55">
        <v>-17193.41</v>
      </c>
      <c r="AI652" s="55">
        <v>298560.77</v>
      </c>
      <c r="AK652" s="55">
        <v>281367.36</v>
      </c>
      <c r="AL652" s="8">
        <f>+'Gen Rev'!AI653-'Gen Exp'!AE652+'Gen Exp'!AI652-AK652</f>
        <v>0</v>
      </c>
      <c r="AM652" s="21" t="str">
        <f>'Gen Rev'!A653</f>
        <v>West Unity</v>
      </c>
      <c r="AN652" s="67" t="str">
        <f t="shared" si="38"/>
        <v>West Unity</v>
      </c>
      <c r="AO652" s="67" t="b">
        <f t="shared" si="39"/>
        <v>1</v>
      </c>
    </row>
    <row r="653" spans="1:41" x14ac:dyDescent="0.2">
      <c r="A653" s="1" t="s">
        <v>853</v>
      </c>
      <c r="C653" s="1" t="s">
        <v>823</v>
      </c>
      <c r="E653" s="48">
        <v>250381.32</v>
      </c>
      <c r="F653" s="48"/>
      <c r="G653" s="48">
        <v>1836.72</v>
      </c>
      <c r="H653" s="48"/>
      <c r="I653" s="48">
        <v>14010.82</v>
      </c>
      <c r="J653" s="48"/>
      <c r="K653" s="48">
        <v>8672.51</v>
      </c>
      <c r="L653" s="48"/>
      <c r="M653" s="48">
        <v>0</v>
      </c>
      <c r="N653" s="48"/>
      <c r="O653" s="48">
        <v>194365.13</v>
      </c>
      <c r="P653" s="48"/>
      <c r="Q653" s="48">
        <v>344802.48</v>
      </c>
      <c r="R653" s="48"/>
      <c r="S653" s="48">
        <v>110072.08</v>
      </c>
      <c r="T653" s="48"/>
      <c r="U653" s="48">
        <v>0</v>
      </c>
      <c r="V653" s="48"/>
      <c r="W653" s="48">
        <v>0</v>
      </c>
      <c r="X653" s="48"/>
      <c r="Y653" s="48">
        <v>166000</v>
      </c>
      <c r="Z653" s="48"/>
      <c r="AA653" s="48">
        <v>0</v>
      </c>
      <c r="AB653" s="48"/>
      <c r="AC653" s="48">
        <v>0</v>
      </c>
      <c r="AD653" s="48"/>
      <c r="AE653" s="48">
        <f t="shared" si="37"/>
        <v>1090141.06</v>
      </c>
      <c r="AG653" s="55">
        <v>570630.56999999995</v>
      </c>
      <c r="AI653" s="55">
        <v>862537.73</v>
      </c>
      <c r="AK653" s="55">
        <v>1433168.3</v>
      </c>
      <c r="AL653" s="8">
        <f>+'Gen Rev'!AI654-'Gen Exp'!AE653+'Gen Exp'!AI653-AK653</f>
        <v>0</v>
      </c>
      <c r="AM653" s="21" t="str">
        <f>'Gen Rev'!A654</f>
        <v>Westfield Center</v>
      </c>
      <c r="AN653" s="67" t="str">
        <f t="shared" si="38"/>
        <v>Westfield Center</v>
      </c>
      <c r="AO653" s="67" t="b">
        <f t="shared" si="39"/>
        <v>1</v>
      </c>
    </row>
    <row r="654" spans="1:41" x14ac:dyDescent="0.2">
      <c r="A654" s="1" t="s">
        <v>245</v>
      </c>
      <c r="C654" s="1" t="s">
        <v>558</v>
      </c>
      <c r="E654" s="48">
        <v>173002.15</v>
      </c>
      <c r="F654" s="48"/>
      <c r="G654" s="48">
        <v>661.64</v>
      </c>
      <c r="H654" s="48"/>
      <c r="I654" s="48">
        <v>33012.17</v>
      </c>
      <c r="J654" s="48"/>
      <c r="K654" s="48">
        <v>51.11</v>
      </c>
      <c r="L654" s="48"/>
      <c r="M654" s="48">
        <v>0</v>
      </c>
      <c r="N654" s="48"/>
      <c r="O654" s="48">
        <v>0</v>
      </c>
      <c r="P654" s="48"/>
      <c r="Q654" s="48">
        <v>164943.26999999999</v>
      </c>
      <c r="R654" s="48"/>
      <c r="S654" s="48">
        <v>80070.84</v>
      </c>
      <c r="T654" s="48"/>
      <c r="U654" s="48">
        <v>0</v>
      </c>
      <c r="V654" s="48"/>
      <c r="W654" s="48">
        <v>0</v>
      </c>
      <c r="X654" s="48"/>
      <c r="Y654" s="48">
        <v>0</v>
      </c>
      <c r="Z654" s="48"/>
      <c r="AA654" s="48">
        <v>0</v>
      </c>
      <c r="AB654" s="48"/>
      <c r="AC654" s="48">
        <v>0</v>
      </c>
      <c r="AD654" s="48"/>
      <c r="AE654" s="48">
        <f t="shared" si="37"/>
        <v>451741.17999999993</v>
      </c>
      <c r="AG654" s="55">
        <v>-121099.45</v>
      </c>
      <c r="AI654" s="55">
        <v>550177.92000000004</v>
      </c>
      <c r="AK654" s="55">
        <v>429078.47</v>
      </c>
      <c r="AL654" s="8">
        <f>+'Gen Rev'!AI655-'Gen Exp'!AE654+'Gen Exp'!AI654-AK654</f>
        <v>0</v>
      </c>
      <c r="AM654" s="21" t="str">
        <f>'Gen Rev'!A655</f>
        <v>Weston</v>
      </c>
      <c r="AN654" s="67" t="str">
        <f t="shared" si="38"/>
        <v>Weston</v>
      </c>
      <c r="AO654" s="67" t="b">
        <f t="shared" si="39"/>
        <v>1</v>
      </c>
    </row>
    <row r="655" spans="1:41" x14ac:dyDescent="0.2">
      <c r="A655" s="1" t="s">
        <v>780</v>
      </c>
      <c r="C655" s="1" t="s">
        <v>566</v>
      </c>
      <c r="E655" s="48">
        <v>236</v>
      </c>
      <c r="F655" s="48"/>
      <c r="G655" s="48">
        <v>4966</v>
      </c>
      <c r="H655" s="48"/>
      <c r="I655" s="48">
        <v>0</v>
      </c>
      <c r="J655" s="48"/>
      <c r="K655" s="48">
        <v>0</v>
      </c>
      <c r="L655" s="48"/>
      <c r="M655" s="48">
        <v>0</v>
      </c>
      <c r="N655" s="48"/>
      <c r="O655" s="48">
        <v>0</v>
      </c>
      <c r="P655" s="48"/>
      <c r="Q655" s="48">
        <v>31147</v>
      </c>
      <c r="R655" s="48"/>
      <c r="S655" s="48">
        <v>0</v>
      </c>
      <c r="T655" s="48"/>
      <c r="U655" s="48">
        <v>0</v>
      </c>
      <c r="V655" s="48"/>
      <c r="W655" s="48">
        <v>0</v>
      </c>
      <c r="X655" s="48"/>
      <c r="Y655" s="48">
        <v>0</v>
      </c>
      <c r="Z655" s="48"/>
      <c r="AA655" s="48">
        <v>0</v>
      </c>
      <c r="AB655" s="48"/>
      <c r="AC655" s="48">
        <v>0</v>
      </c>
      <c r="AD655" s="48"/>
      <c r="AE655" s="48">
        <f t="shared" si="37"/>
        <v>36349</v>
      </c>
      <c r="AF655" s="48"/>
      <c r="AG655" s="59"/>
      <c r="AH655" s="59"/>
      <c r="AI655" s="59"/>
      <c r="AJ655" s="59"/>
      <c r="AK655" s="59"/>
      <c r="AL655" s="8">
        <f>+'Gen Rev'!AI656-'Gen Exp'!AE655+'Gen Exp'!AI655-AK655</f>
        <v>-435</v>
      </c>
      <c r="AM655" s="21" t="str">
        <f>'Gen Rev'!A656</f>
        <v>Wharton</v>
      </c>
      <c r="AN655" s="67" t="str">
        <f t="shared" si="38"/>
        <v>Wharton</v>
      </c>
      <c r="AO655" s="67" t="b">
        <f t="shared" si="39"/>
        <v>1</v>
      </c>
    </row>
    <row r="656" spans="1:41" x14ac:dyDescent="0.2"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59"/>
      <c r="AH656" s="59"/>
      <c r="AI656" s="59"/>
      <c r="AJ656" s="59"/>
      <c r="AK656" s="59"/>
      <c r="AL656" s="8"/>
      <c r="AM656" s="21"/>
      <c r="AN656" s="67"/>
      <c r="AO656" s="67"/>
    </row>
    <row r="657" spans="1:41" ht="12.75" x14ac:dyDescent="0.2"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88" t="s">
        <v>733</v>
      </c>
      <c r="AF657" s="48"/>
      <c r="AG657" s="59"/>
      <c r="AH657" s="59"/>
      <c r="AI657" s="59"/>
      <c r="AJ657" s="59"/>
      <c r="AK657" s="59"/>
      <c r="AL657" s="8"/>
      <c r="AM657" s="21"/>
      <c r="AN657" s="67"/>
      <c r="AO657" s="67"/>
    </row>
    <row r="658" spans="1:41" x14ac:dyDescent="0.2"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59"/>
      <c r="AH658" s="59"/>
      <c r="AI658" s="59"/>
      <c r="AJ658" s="59"/>
      <c r="AK658" s="59"/>
      <c r="AL658" s="8"/>
      <c r="AM658" s="21"/>
      <c r="AN658" s="67"/>
      <c r="AO658" s="67"/>
    </row>
    <row r="659" spans="1:41" x14ac:dyDescent="0.2">
      <c r="A659" s="1" t="s">
        <v>425</v>
      </c>
      <c r="C659" s="1" t="s">
        <v>423</v>
      </c>
      <c r="E659" s="68">
        <v>1418235</v>
      </c>
      <c r="F659" s="48"/>
      <c r="G659" s="68">
        <v>18900</v>
      </c>
      <c r="H659" s="68"/>
      <c r="I659" s="68">
        <v>38717</v>
      </c>
      <c r="J659" s="68"/>
      <c r="K659" s="68">
        <v>136260</v>
      </c>
      <c r="L659" s="68"/>
      <c r="M659" s="68">
        <v>238588</v>
      </c>
      <c r="N659" s="68"/>
      <c r="O659" s="68">
        <v>0</v>
      </c>
      <c r="P659" s="68"/>
      <c r="Q659" s="68">
        <v>445424</v>
      </c>
      <c r="R659" s="68"/>
      <c r="S659" s="68">
        <v>138653</v>
      </c>
      <c r="T659" s="68"/>
      <c r="U659" s="68">
        <v>0</v>
      </c>
      <c r="V659" s="68"/>
      <c r="W659" s="68">
        <v>0</v>
      </c>
      <c r="X659" s="68"/>
      <c r="Y659" s="68">
        <v>134247</v>
      </c>
      <c r="Z659" s="68"/>
      <c r="AA659" s="68">
        <v>0</v>
      </c>
      <c r="AB659" s="68"/>
      <c r="AC659" s="68">
        <v>0</v>
      </c>
      <c r="AD659" s="68"/>
      <c r="AE659" s="68">
        <f t="shared" si="37"/>
        <v>2569024</v>
      </c>
      <c r="AF659" s="48"/>
      <c r="AG659" s="59"/>
      <c r="AH659" s="59"/>
      <c r="AI659" s="59"/>
      <c r="AJ659" s="59"/>
      <c r="AK659" s="59"/>
      <c r="AL659" s="8">
        <f>+'Gen Rev'!AI657-'Gen Exp'!AE659+'Gen Exp'!AI659-AK659</f>
        <v>-35425</v>
      </c>
      <c r="AM659" s="21" t="str">
        <f>'Gen Rev'!A657</f>
        <v>Whitehouse</v>
      </c>
      <c r="AN659" s="67" t="str">
        <f t="shared" si="38"/>
        <v>Whitehouse</v>
      </c>
      <c r="AO659" s="67" t="b">
        <f t="shared" si="39"/>
        <v>1</v>
      </c>
    </row>
    <row r="660" spans="1:41" x14ac:dyDescent="0.2">
      <c r="A660" s="1" t="s">
        <v>537</v>
      </c>
      <c r="C660" s="1" t="s">
        <v>77</v>
      </c>
      <c r="E660" s="48">
        <v>2290</v>
      </c>
      <c r="F660" s="48"/>
      <c r="G660" s="48">
        <v>0</v>
      </c>
      <c r="H660" s="48"/>
      <c r="I660" s="48">
        <v>0</v>
      </c>
      <c r="J660" s="48"/>
      <c r="K660" s="48">
        <v>0</v>
      </c>
      <c r="L660" s="48"/>
      <c r="M660" s="48">
        <v>265</v>
      </c>
      <c r="N660" s="48"/>
      <c r="O660" s="48">
        <v>0</v>
      </c>
      <c r="P660" s="48"/>
      <c r="Q660" s="48">
        <v>9930</v>
      </c>
      <c r="R660" s="48"/>
      <c r="S660" s="48">
        <v>0</v>
      </c>
      <c r="T660" s="48"/>
      <c r="U660" s="48">
        <v>0</v>
      </c>
      <c r="V660" s="48"/>
      <c r="W660" s="48">
        <v>0</v>
      </c>
      <c r="X660" s="48"/>
      <c r="Y660" s="48">
        <v>0</v>
      </c>
      <c r="Z660" s="48"/>
      <c r="AA660" s="48">
        <v>0</v>
      </c>
      <c r="AB660" s="48"/>
      <c r="AC660" s="48">
        <v>0</v>
      </c>
      <c r="AD660" s="48"/>
      <c r="AE660" s="48">
        <f t="shared" si="37"/>
        <v>12485</v>
      </c>
      <c r="AF660" s="48"/>
      <c r="AG660" s="59"/>
      <c r="AH660" s="59"/>
      <c r="AI660" s="59"/>
      <c r="AJ660" s="59"/>
      <c r="AK660" s="59"/>
      <c r="AL660" s="8">
        <f>+'Gen Rev'!AI658-'Gen Exp'!AE660+'Gen Exp'!AI660-AK660</f>
        <v>1420</v>
      </c>
      <c r="AM660" s="21" t="str">
        <f>'Gen Rev'!A658</f>
        <v>Wilkesville</v>
      </c>
      <c r="AN660" s="67" t="str">
        <f t="shared" si="38"/>
        <v>Wilkesville</v>
      </c>
      <c r="AO660" s="67" t="b">
        <f t="shared" si="39"/>
        <v>1</v>
      </c>
    </row>
    <row r="661" spans="1:41" x14ac:dyDescent="0.2">
      <c r="A661" s="1" t="s">
        <v>39</v>
      </c>
      <c r="C661" s="1" t="s">
        <v>277</v>
      </c>
      <c r="E661" s="48">
        <v>370130.07</v>
      </c>
      <c r="F661" s="48"/>
      <c r="G661" s="48">
        <v>2998.33</v>
      </c>
      <c r="H661" s="48"/>
      <c r="I661" s="48">
        <v>21199.279999999999</v>
      </c>
      <c r="J661" s="48"/>
      <c r="K661" s="48">
        <v>38528.78</v>
      </c>
      <c r="L661" s="48"/>
      <c r="M661" s="48">
        <v>0</v>
      </c>
      <c r="N661" s="48"/>
      <c r="O661" s="48">
        <v>0</v>
      </c>
      <c r="P661" s="48"/>
      <c r="Q661" s="48">
        <v>144204.76</v>
      </c>
      <c r="R661" s="48"/>
      <c r="S661" s="48">
        <v>28465.71</v>
      </c>
      <c r="T661" s="48"/>
      <c r="U661" s="48">
        <v>0</v>
      </c>
      <c r="V661" s="48"/>
      <c r="W661" s="48">
        <v>0</v>
      </c>
      <c r="X661" s="48"/>
      <c r="Y661" s="48">
        <v>125003.4</v>
      </c>
      <c r="Z661" s="48"/>
      <c r="AA661" s="48">
        <v>0</v>
      </c>
      <c r="AB661" s="48"/>
      <c r="AC661" s="48">
        <v>0</v>
      </c>
      <c r="AD661" s="48"/>
      <c r="AE661" s="48">
        <f t="shared" si="37"/>
        <v>730530.33000000007</v>
      </c>
      <c r="AG661" s="55">
        <v>19498.32</v>
      </c>
      <c r="AI661" s="55">
        <v>390221.7</v>
      </c>
      <c r="AK661" s="55">
        <v>409720.02</v>
      </c>
      <c r="AL661" s="8">
        <f>+'Gen Rev'!AI659-'Gen Exp'!AE661+'Gen Exp'!AI661-AK661</f>
        <v>0</v>
      </c>
      <c r="AM661" s="21" t="str">
        <f>'Gen Rev'!A659</f>
        <v>Williamsburg</v>
      </c>
      <c r="AN661" s="67" t="str">
        <f t="shared" si="38"/>
        <v>Williamsburg</v>
      </c>
      <c r="AO661" s="67" t="b">
        <f t="shared" si="39"/>
        <v>1</v>
      </c>
    </row>
    <row r="662" spans="1:41" x14ac:dyDescent="0.2">
      <c r="A662" s="1" t="s">
        <v>177</v>
      </c>
      <c r="C662" s="1" t="s">
        <v>467</v>
      </c>
      <c r="E662" s="48">
        <v>11272.46</v>
      </c>
      <c r="F662" s="48"/>
      <c r="G662" s="48">
        <v>553.72</v>
      </c>
      <c r="H662" s="48"/>
      <c r="I662" s="48">
        <v>12769.35</v>
      </c>
      <c r="J662" s="48"/>
      <c r="K662" s="48">
        <v>4029.36</v>
      </c>
      <c r="L662" s="48"/>
      <c r="M662" s="48">
        <v>0</v>
      </c>
      <c r="N662" s="48"/>
      <c r="O662" s="48">
        <v>0</v>
      </c>
      <c r="P662" s="48"/>
      <c r="Q662" s="48">
        <v>42750.97</v>
      </c>
      <c r="R662" s="48"/>
      <c r="S662" s="48">
        <v>0</v>
      </c>
      <c r="T662" s="48"/>
      <c r="U662" s="48">
        <v>0</v>
      </c>
      <c r="V662" s="48"/>
      <c r="W662" s="48">
        <v>0</v>
      </c>
      <c r="X662" s="48"/>
      <c r="Y662" s="48">
        <v>0</v>
      </c>
      <c r="Z662" s="48"/>
      <c r="AA662" s="48">
        <v>0</v>
      </c>
      <c r="AB662" s="48"/>
      <c r="AC662" s="48">
        <v>0</v>
      </c>
      <c r="AD662" s="48"/>
      <c r="AE662" s="48">
        <f t="shared" si="37"/>
        <v>71375.86</v>
      </c>
      <c r="AG662" s="55">
        <v>-5180.1499999999996</v>
      </c>
      <c r="AI662" s="55">
        <v>114688.05</v>
      </c>
      <c r="AK662" s="55">
        <v>109507.9</v>
      </c>
      <c r="AL662" s="8">
        <f>+'Gen Rev'!AI660-'Gen Exp'!AE662+'Gen Exp'!AI662-AK662</f>
        <v>0</v>
      </c>
      <c r="AM662" s="21" t="str">
        <f>'Gen Rev'!A660</f>
        <v>Williamsport</v>
      </c>
      <c r="AN662" s="67" t="str">
        <f t="shared" si="38"/>
        <v>Williamsport</v>
      </c>
      <c r="AO662" s="67" t="b">
        <f t="shared" si="39"/>
        <v>1</v>
      </c>
    </row>
    <row r="663" spans="1:41" x14ac:dyDescent="0.2">
      <c r="A663" s="1" t="s">
        <v>536</v>
      </c>
      <c r="C663" s="1" t="s">
        <v>532</v>
      </c>
      <c r="E663" s="48">
        <v>22748.91</v>
      </c>
      <c r="F663" s="48"/>
      <c r="G663" s="48">
        <v>2557.02</v>
      </c>
      <c r="H663" s="48"/>
      <c r="I663" s="48">
        <v>0</v>
      </c>
      <c r="J663" s="48"/>
      <c r="K663" s="48">
        <v>0</v>
      </c>
      <c r="L663" s="48"/>
      <c r="M663" s="48">
        <v>0</v>
      </c>
      <c r="N663" s="48"/>
      <c r="O663" s="48">
        <v>0</v>
      </c>
      <c r="P663" s="48"/>
      <c r="Q663" s="48">
        <v>75820.25</v>
      </c>
      <c r="R663" s="48"/>
      <c r="S663" s="48">
        <v>0</v>
      </c>
      <c r="T663" s="48"/>
      <c r="U663" s="48">
        <v>0</v>
      </c>
      <c r="V663" s="48"/>
      <c r="W663" s="48">
        <v>0</v>
      </c>
      <c r="X663" s="48"/>
      <c r="Y663" s="48">
        <v>0</v>
      </c>
      <c r="Z663" s="48"/>
      <c r="AA663" s="48">
        <v>0</v>
      </c>
      <c r="AB663" s="48"/>
      <c r="AC663" s="48">
        <v>0</v>
      </c>
      <c r="AD663" s="48"/>
      <c r="AE663" s="48">
        <f t="shared" ref="AE663:AE681" si="40">SUM(E663:AC663)</f>
        <v>101126.18</v>
      </c>
      <c r="AG663" s="55">
        <v>-1493.14</v>
      </c>
      <c r="AI663" s="55">
        <v>99701.71</v>
      </c>
      <c r="AK663" s="55">
        <v>98208.57</v>
      </c>
      <c r="AL663" s="8">
        <f>+'Gen Rev'!AI661-'Gen Exp'!AE663+'Gen Exp'!AI663-AK663</f>
        <v>0</v>
      </c>
      <c r="AM663" s="21" t="str">
        <f>'Gen Rev'!A661</f>
        <v>Willshire</v>
      </c>
      <c r="AN663" s="67" t="str">
        <f t="shared" si="38"/>
        <v>Willshire</v>
      </c>
      <c r="AO663" s="67" t="b">
        <f t="shared" si="39"/>
        <v>1</v>
      </c>
    </row>
    <row r="664" spans="1:41" x14ac:dyDescent="0.2">
      <c r="A664" s="1" t="s">
        <v>728</v>
      </c>
      <c r="C664" s="1" t="s">
        <v>502</v>
      </c>
      <c r="E664" s="48">
        <v>69042.960000000006</v>
      </c>
      <c r="F664" s="48"/>
      <c r="G664" s="48">
        <v>1019</v>
      </c>
      <c r="H664" s="48"/>
      <c r="I664" s="48">
        <v>674.17</v>
      </c>
      <c r="J664" s="48"/>
      <c r="K664" s="48">
        <v>100</v>
      </c>
      <c r="L664" s="48"/>
      <c r="M664" s="48">
        <v>456</v>
      </c>
      <c r="N664" s="48"/>
      <c r="O664" s="48">
        <v>0</v>
      </c>
      <c r="P664" s="48"/>
      <c r="Q664" s="48">
        <v>56401.86</v>
      </c>
      <c r="R664" s="48"/>
      <c r="S664" s="48">
        <v>0</v>
      </c>
      <c r="T664" s="48"/>
      <c r="U664" s="48">
        <v>2959.71</v>
      </c>
      <c r="V664" s="48"/>
      <c r="W664" s="48">
        <v>299.61</v>
      </c>
      <c r="X664" s="48"/>
      <c r="Y664" s="48">
        <v>0</v>
      </c>
      <c r="Z664" s="48"/>
      <c r="AA664" s="48">
        <v>0</v>
      </c>
      <c r="AB664" s="48"/>
      <c r="AC664" s="48">
        <v>0</v>
      </c>
      <c r="AD664" s="48"/>
      <c r="AE664" s="48">
        <f t="shared" si="40"/>
        <v>130953.31000000001</v>
      </c>
      <c r="AG664" s="55">
        <v>-10166.41</v>
      </c>
      <c r="AI664" s="55">
        <v>77208.210000000006</v>
      </c>
      <c r="AK664" s="55">
        <v>67041.8</v>
      </c>
      <c r="AL664" s="8">
        <f>+'Gen Rev'!AI662-'Gen Exp'!AE664+'Gen Exp'!AI664-AK664</f>
        <v>0</v>
      </c>
      <c r="AM664" s="21" t="str">
        <f>'Gen Rev'!A662</f>
        <v>Wilmot</v>
      </c>
      <c r="AN664" s="67" t="str">
        <f t="shared" si="38"/>
        <v>Wilmot</v>
      </c>
      <c r="AO664" s="67" t="b">
        <f t="shared" si="39"/>
        <v>1</v>
      </c>
    </row>
    <row r="665" spans="1:41" x14ac:dyDescent="0.2">
      <c r="A665" s="1" t="s">
        <v>445</v>
      </c>
      <c r="C665" s="1" t="s">
        <v>441</v>
      </c>
      <c r="E665" s="48">
        <v>2605</v>
      </c>
      <c r="F665" s="48"/>
      <c r="G665" s="48">
        <v>0</v>
      </c>
      <c r="H665" s="48"/>
      <c r="I665" s="48">
        <v>0</v>
      </c>
      <c r="J665" s="48"/>
      <c r="K665" s="48">
        <v>0</v>
      </c>
      <c r="L665" s="48"/>
      <c r="M665" s="48">
        <v>0</v>
      </c>
      <c r="N665" s="48"/>
      <c r="O665" s="48">
        <v>0</v>
      </c>
      <c r="P665" s="48"/>
      <c r="Q665" s="48">
        <v>8096</v>
      </c>
      <c r="R665" s="48"/>
      <c r="S665" s="48">
        <v>0</v>
      </c>
      <c r="T665" s="48"/>
      <c r="U665" s="48">
        <v>0</v>
      </c>
      <c r="V665" s="48"/>
      <c r="W665" s="48">
        <v>0</v>
      </c>
      <c r="X665" s="48"/>
      <c r="Y665" s="48">
        <v>0</v>
      </c>
      <c r="Z665" s="48"/>
      <c r="AA665" s="48">
        <v>0</v>
      </c>
      <c r="AB665" s="48"/>
      <c r="AC665" s="48">
        <v>0</v>
      </c>
      <c r="AD665" s="48"/>
      <c r="AE665" s="48">
        <f t="shared" si="40"/>
        <v>10701</v>
      </c>
      <c r="AF665" s="48"/>
      <c r="AG665" s="59"/>
      <c r="AH665" s="59"/>
      <c r="AI665" s="59"/>
      <c r="AJ665" s="59"/>
      <c r="AK665" s="59"/>
      <c r="AL665" s="8">
        <f>+'Gen Rev'!AI663-'Gen Exp'!AE665+'Gen Exp'!AI665-AK665</f>
        <v>-2108</v>
      </c>
      <c r="AM665" s="21" t="str">
        <f>'Gen Rev'!A663</f>
        <v>Wilson</v>
      </c>
      <c r="AN665" s="67" t="str">
        <f t="shared" si="38"/>
        <v>Wilson</v>
      </c>
      <c r="AO665" s="67" t="b">
        <f t="shared" si="39"/>
        <v>1</v>
      </c>
    </row>
    <row r="666" spans="1:41" x14ac:dyDescent="0.2">
      <c r="A666" s="1" t="s">
        <v>1</v>
      </c>
      <c r="C666" s="1" t="s">
        <v>616</v>
      </c>
      <c r="D666" s="67"/>
      <c r="E666" s="48">
        <v>116615.27</v>
      </c>
      <c r="F666" s="48"/>
      <c r="G666" s="48">
        <v>0</v>
      </c>
      <c r="H666" s="48"/>
      <c r="I666" s="48">
        <v>0</v>
      </c>
      <c r="J666" s="48"/>
      <c r="K666" s="48">
        <v>0</v>
      </c>
      <c r="L666" s="48"/>
      <c r="M666" s="48">
        <v>0</v>
      </c>
      <c r="N666" s="48"/>
      <c r="O666" s="48">
        <v>0</v>
      </c>
      <c r="P666" s="48"/>
      <c r="Q666" s="48">
        <v>46625.18</v>
      </c>
      <c r="R666" s="48"/>
      <c r="S666" s="48">
        <v>11452.94</v>
      </c>
      <c r="T666" s="48"/>
      <c r="U666" s="48">
        <v>7680</v>
      </c>
      <c r="V666" s="48"/>
      <c r="W666" s="48">
        <v>500</v>
      </c>
      <c r="X666" s="48"/>
      <c r="Y666" s="48">
        <v>0</v>
      </c>
      <c r="Z666" s="48"/>
      <c r="AA666" s="48">
        <v>0</v>
      </c>
      <c r="AB666" s="48"/>
      <c r="AC666" s="48">
        <v>0</v>
      </c>
      <c r="AD666" s="48"/>
      <c r="AE666" s="48">
        <f t="shared" si="40"/>
        <v>182873.39</v>
      </c>
      <c r="AG666" s="55">
        <v>57483.43</v>
      </c>
      <c r="AI666" s="55">
        <v>87285.93</v>
      </c>
      <c r="AK666" s="55">
        <v>144769.35999999999</v>
      </c>
      <c r="AL666" s="8">
        <f>+'Gen Rev'!AI664-'Gen Exp'!AE666+'Gen Exp'!AI666-AK666</f>
        <v>0</v>
      </c>
      <c r="AM666" s="21" t="str">
        <f>'Gen Rev'!A664</f>
        <v>Winchester</v>
      </c>
      <c r="AN666" s="67" t="str">
        <f t="shared" si="38"/>
        <v>Winchester</v>
      </c>
      <c r="AO666" s="67" t="b">
        <f t="shared" si="39"/>
        <v>1</v>
      </c>
    </row>
    <row r="667" spans="1:41" x14ac:dyDescent="0.2">
      <c r="A667" s="1" t="s">
        <v>182</v>
      </c>
      <c r="C667" s="1" t="s">
        <v>241</v>
      </c>
      <c r="E667" s="48">
        <v>475432.54</v>
      </c>
      <c r="F667" s="48"/>
      <c r="G667" s="48">
        <v>0</v>
      </c>
      <c r="H667" s="48"/>
      <c r="I667" s="48">
        <v>1823.38</v>
      </c>
      <c r="J667" s="48"/>
      <c r="K667" s="48">
        <v>0</v>
      </c>
      <c r="L667" s="48"/>
      <c r="M667" s="48">
        <v>1169.8</v>
      </c>
      <c r="N667" s="48"/>
      <c r="O667" s="48">
        <v>16035.51</v>
      </c>
      <c r="P667" s="48"/>
      <c r="Q667" s="48">
        <v>174981.9</v>
      </c>
      <c r="R667" s="48"/>
      <c r="S667" s="48">
        <v>0</v>
      </c>
      <c r="T667" s="48"/>
      <c r="U667" s="48">
        <v>0</v>
      </c>
      <c r="V667" s="48"/>
      <c r="W667" s="48">
        <v>0</v>
      </c>
      <c r="X667" s="48"/>
      <c r="Y667" s="48">
        <v>0</v>
      </c>
      <c r="Z667" s="48"/>
      <c r="AA667" s="48">
        <v>0</v>
      </c>
      <c r="AB667" s="48"/>
      <c r="AC667" s="48">
        <v>0</v>
      </c>
      <c r="AD667" s="48"/>
      <c r="AE667" s="48">
        <f t="shared" si="40"/>
        <v>669443.13</v>
      </c>
      <c r="AG667" s="55">
        <v>18568.080000000002</v>
      </c>
      <c r="AI667" s="55">
        <v>120069.31</v>
      </c>
      <c r="AK667" s="55">
        <v>138637.39000000001</v>
      </c>
      <c r="AL667" s="8">
        <f>+'Gen Rev'!AI665-'Gen Exp'!AE667+'Gen Exp'!AI667-AK667</f>
        <v>0</v>
      </c>
      <c r="AM667" s="21" t="str">
        <f>'Gen Rev'!A665</f>
        <v>Windham</v>
      </c>
      <c r="AN667" s="67" t="str">
        <f t="shared" si="38"/>
        <v>Windham</v>
      </c>
      <c r="AO667" s="67" t="b">
        <f t="shared" si="39"/>
        <v>1</v>
      </c>
    </row>
    <row r="668" spans="1:41" x14ac:dyDescent="0.2">
      <c r="A668" s="1" t="s">
        <v>729</v>
      </c>
      <c r="C668" s="1" t="s">
        <v>390</v>
      </c>
      <c r="E668" s="48">
        <v>627683.86</v>
      </c>
      <c r="F668" s="48"/>
      <c r="G668" s="48">
        <v>13707.18</v>
      </c>
      <c r="H668" s="48"/>
      <c r="I668" s="48">
        <v>25960.29</v>
      </c>
      <c r="J668" s="48"/>
      <c r="K668" s="48">
        <v>2465.62</v>
      </c>
      <c r="L668" s="48"/>
      <c r="M668" s="48">
        <v>0</v>
      </c>
      <c r="N668" s="48"/>
      <c r="O668" s="48">
        <v>379672.57</v>
      </c>
      <c r="P668" s="48"/>
      <c r="Q668" s="48">
        <v>376994.64</v>
      </c>
      <c r="R668" s="48"/>
      <c r="S668" s="48">
        <v>0</v>
      </c>
      <c r="T668" s="48"/>
      <c r="U668" s="48">
        <v>0</v>
      </c>
      <c r="V668" s="48"/>
      <c r="W668" s="48">
        <v>0</v>
      </c>
      <c r="X668" s="48"/>
      <c r="Y668" s="48">
        <v>172585.87</v>
      </c>
      <c r="Z668" s="48"/>
      <c r="AA668" s="48">
        <v>88000</v>
      </c>
      <c r="AB668" s="48"/>
      <c r="AC668" s="48">
        <v>428.19</v>
      </c>
      <c r="AD668" s="48"/>
      <c r="AE668" s="48">
        <f t="shared" si="40"/>
        <v>1687498.2200000002</v>
      </c>
      <c r="AG668" s="55">
        <v>-108126.68</v>
      </c>
      <c r="AI668" s="55">
        <v>342110.33</v>
      </c>
      <c r="AK668" s="55">
        <v>233983.65</v>
      </c>
      <c r="AL668" s="8">
        <f>+'Gen Rev'!AI666-'Gen Exp'!AE668+'Gen Exp'!AI668-AK668</f>
        <v>-3.7834979593753815E-10</v>
      </c>
      <c r="AM668" s="21" t="str">
        <f>'Gen Rev'!A666</f>
        <v>Wintersville</v>
      </c>
      <c r="AN668" s="67" t="str">
        <f t="shared" si="38"/>
        <v>Wintersville</v>
      </c>
      <c r="AO668" s="67" t="b">
        <f t="shared" si="39"/>
        <v>1</v>
      </c>
    </row>
    <row r="669" spans="1:41" x14ac:dyDescent="0.2">
      <c r="A669" s="1" t="s">
        <v>358</v>
      </c>
      <c r="C669" s="1" t="s">
        <v>351</v>
      </c>
      <c r="D669" s="67"/>
      <c r="E669" s="48">
        <v>2796233</v>
      </c>
      <c r="F669" s="48"/>
      <c r="G669" s="48">
        <v>1330</v>
      </c>
      <c r="H669" s="48"/>
      <c r="I669" s="48">
        <v>413157</v>
      </c>
      <c r="J669" s="48"/>
      <c r="K669" s="48">
        <v>85232</v>
      </c>
      <c r="L669" s="48"/>
      <c r="M669" s="48">
        <v>290169</v>
      </c>
      <c r="N669" s="48"/>
      <c r="O669" s="48">
        <v>0</v>
      </c>
      <c r="P669" s="48"/>
      <c r="Q669" s="48">
        <v>1378874</v>
      </c>
      <c r="R669" s="48"/>
      <c r="S669" s="48">
        <v>0</v>
      </c>
      <c r="T669" s="48"/>
      <c r="U669" s="48">
        <v>0</v>
      </c>
      <c r="V669" s="48"/>
      <c r="W669" s="48">
        <v>0</v>
      </c>
      <c r="X669" s="48"/>
      <c r="Y669" s="48">
        <v>229406</v>
      </c>
      <c r="Z669" s="48"/>
      <c r="AA669" s="48">
        <v>0</v>
      </c>
      <c r="AB669" s="48"/>
      <c r="AC669" s="48">
        <v>0</v>
      </c>
      <c r="AD669" s="48"/>
      <c r="AE669" s="48">
        <f t="shared" si="40"/>
        <v>5194401</v>
      </c>
      <c r="AF669" s="48"/>
      <c r="AG669" s="59"/>
      <c r="AH669" s="59"/>
      <c r="AI669" s="59"/>
      <c r="AJ669" s="59"/>
      <c r="AK669" s="59"/>
      <c r="AL669" s="8">
        <f>+'Gen Rev'!AI667-'Gen Exp'!AE669+'Gen Exp'!AI669-AK669</f>
        <v>24310</v>
      </c>
      <c r="AM669" s="21" t="str">
        <f>'Gen Rev'!A667</f>
        <v>Woodlawn</v>
      </c>
      <c r="AN669" s="67" t="str">
        <f t="shared" si="38"/>
        <v>Woodlawn</v>
      </c>
      <c r="AO669" s="67" t="b">
        <f t="shared" si="39"/>
        <v>1</v>
      </c>
    </row>
    <row r="670" spans="1:41" x14ac:dyDescent="0.2">
      <c r="A670" s="1" t="s">
        <v>304</v>
      </c>
      <c r="C670" s="1" t="s">
        <v>293</v>
      </c>
      <c r="D670" s="67"/>
      <c r="E670" s="48">
        <v>1476560</v>
      </c>
      <c r="F670" s="48"/>
      <c r="G670" s="48">
        <v>2173</v>
      </c>
      <c r="H670" s="48"/>
      <c r="I670" s="48">
        <v>0</v>
      </c>
      <c r="J670" s="48"/>
      <c r="K670" s="48">
        <v>12371</v>
      </c>
      <c r="L670" s="48"/>
      <c r="M670" s="48">
        <v>55098</v>
      </c>
      <c r="N670" s="48"/>
      <c r="O670" s="48">
        <v>33481</v>
      </c>
      <c r="P670" s="48"/>
      <c r="Q670" s="48">
        <v>883388</v>
      </c>
      <c r="R670" s="48"/>
      <c r="S670" s="48">
        <v>134548</v>
      </c>
      <c r="T670" s="48"/>
      <c r="U670" s="48">
        <v>3366</v>
      </c>
      <c r="V670" s="48"/>
      <c r="W670" s="48">
        <v>0</v>
      </c>
      <c r="X670" s="48"/>
      <c r="Y670" s="48">
        <v>75000</v>
      </c>
      <c r="Z670" s="48"/>
      <c r="AA670" s="48">
        <v>0</v>
      </c>
      <c r="AB670" s="48"/>
      <c r="AC670" s="48">
        <v>8090</v>
      </c>
      <c r="AD670" s="48"/>
      <c r="AE670" s="48">
        <f t="shared" si="40"/>
        <v>2684075</v>
      </c>
      <c r="AF670" s="48"/>
      <c r="AG670" s="59"/>
      <c r="AH670" s="59"/>
      <c r="AI670" s="59"/>
      <c r="AJ670" s="59"/>
      <c r="AK670" s="59"/>
      <c r="AL670" s="8">
        <f>+'Gen Rev'!AI668-'Gen Exp'!AE670+'Gen Exp'!AI670-AK670</f>
        <v>245419</v>
      </c>
      <c r="AM670" s="21" t="str">
        <f>'Gen Rev'!A668</f>
        <v>Woodmere</v>
      </c>
      <c r="AN670" s="67" t="str">
        <f t="shared" si="38"/>
        <v>Woodmere</v>
      </c>
      <c r="AO670" s="67" t="b">
        <f t="shared" si="39"/>
        <v>1</v>
      </c>
    </row>
    <row r="671" spans="1:41" x14ac:dyDescent="0.2">
      <c r="A671" s="1" t="s">
        <v>152</v>
      </c>
      <c r="C671" s="1" t="s">
        <v>441</v>
      </c>
      <c r="E671" s="48">
        <v>366357.02</v>
      </c>
      <c r="F671" s="48"/>
      <c r="G671" s="48">
        <v>12771.69</v>
      </c>
      <c r="H671" s="48"/>
      <c r="I671" s="48">
        <v>0</v>
      </c>
      <c r="J671" s="48"/>
      <c r="K671" s="48">
        <v>0</v>
      </c>
      <c r="L671" s="48"/>
      <c r="M671" s="48">
        <v>0</v>
      </c>
      <c r="N671" s="48"/>
      <c r="O671" s="48">
        <v>0</v>
      </c>
      <c r="P671" s="48"/>
      <c r="Q671" s="48">
        <v>165467.12</v>
      </c>
      <c r="R671" s="48"/>
      <c r="S671" s="48">
        <v>0</v>
      </c>
      <c r="T671" s="48"/>
      <c r="U671" s="48">
        <v>2400</v>
      </c>
      <c r="V671" s="48"/>
      <c r="W671" s="48">
        <v>835.62</v>
      </c>
      <c r="X671" s="48"/>
      <c r="Y671" s="48">
        <v>0</v>
      </c>
      <c r="Z671" s="48"/>
      <c r="AA671" s="48">
        <v>0</v>
      </c>
      <c r="AB671" s="48"/>
      <c r="AC671" s="48">
        <v>0</v>
      </c>
      <c r="AD671" s="48"/>
      <c r="AE671" s="48">
        <f t="shared" si="40"/>
        <v>547831.45000000007</v>
      </c>
      <c r="AG671" s="55">
        <v>-22666.3</v>
      </c>
      <c r="AI671" s="55">
        <v>36975.69</v>
      </c>
      <c r="AK671" s="55">
        <v>14309.39</v>
      </c>
      <c r="AL671" s="8">
        <f>+'Gen Rev'!AI669-'Gen Exp'!AE671+'Gen Exp'!AI671-AK671</f>
        <v>-4.3655745685100555E-11</v>
      </c>
      <c r="AM671" s="21" t="str">
        <f>'Gen Rev'!A669</f>
        <v>Woodsfield</v>
      </c>
      <c r="AN671" s="67" t="str">
        <f t="shared" si="38"/>
        <v>Woodsfield</v>
      </c>
      <c r="AO671" s="67" t="b">
        <f t="shared" si="39"/>
        <v>1</v>
      </c>
    </row>
    <row r="672" spans="1:41" x14ac:dyDescent="0.2">
      <c r="A672" s="1" t="s">
        <v>272</v>
      </c>
      <c r="C672" s="1" t="s">
        <v>269</v>
      </c>
      <c r="E672" s="48">
        <v>4758.8500000000004</v>
      </c>
      <c r="F672" s="48"/>
      <c r="G672" s="48">
        <v>710.32</v>
      </c>
      <c r="H672" s="48"/>
      <c r="I672" s="48">
        <v>3048.91</v>
      </c>
      <c r="J672" s="48"/>
      <c r="K672" s="48">
        <v>487.5</v>
      </c>
      <c r="L672" s="48"/>
      <c r="M672" s="48">
        <v>0</v>
      </c>
      <c r="N672" s="48"/>
      <c r="O672" s="48">
        <v>0</v>
      </c>
      <c r="P672" s="48"/>
      <c r="Q672" s="48">
        <v>36275.699999999997</v>
      </c>
      <c r="R672" s="48"/>
      <c r="S672" s="48">
        <v>0</v>
      </c>
      <c r="T672" s="48"/>
      <c r="U672" s="48">
        <v>0</v>
      </c>
      <c r="V672" s="48"/>
      <c r="W672" s="48">
        <v>0</v>
      </c>
      <c r="X672" s="48"/>
      <c r="Y672" s="48">
        <v>0</v>
      </c>
      <c r="Z672" s="48"/>
      <c r="AA672" s="48">
        <v>0</v>
      </c>
      <c r="AB672" s="48"/>
      <c r="AC672" s="48">
        <v>0</v>
      </c>
      <c r="AD672" s="48"/>
      <c r="AE672" s="48">
        <f t="shared" si="40"/>
        <v>45281.279999999999</v>
      </c>
      <c r="AG672" s="55">
        <v>7095.62</v>
      </c>
      <c r="AI672" s="55">
        <v>53945.26</v>
      </c>
      <c r="AK672" s="55">
        <v>61040.88</v>
      </c>
      <c r="AL672" s="8">
        <f>+'Gen Rev'!AI670-'Gen Exp'!AE672+'Gen Exp'!AI672-AK672</f>
        <v>0</v>
      </c>
      <c r="AM672" s="21" t="str">
        <f>'Gen Rev'!A670</f>
        <v>Woodstock</v>
      </c>
      <c r="AN672" s="67" t="str">
        <f t="shared" si="38"/>
        <v>Woodstock</v>
      </c>
      <c r="AO672" s="67" t="b">
        <f t="shared" si="39"/>
        <v>1</v>
      </c>
    </row>
    <row r="673" spans="1:41" x14ac:dyDescent="0.2">
      <c r="A673" s="1" t="s">
        <v>489</v>
      </c>
      <c r="C673" s="1" t="s">
        <v>487</v>
      </c>
      <c r="E673" s="48">
        <v>335767</v>
      </c>
      <c r="F673" s="48"/>
      <c r="G673" s="48">
        <v>1144</v>
      </c>
      <c r="H673" s="48"/>
      <c r="I673" s="48">
        <v>3913</v>
      </c>
      <c r="J673" s="48"/>
      <c r="K673" s="48">
        <v>8957</v>
      </c>
      <c r="L673" s="48"/>
      <c r="M673" s="48">
        <v>0</v>
      </c>
      <c r="N673" s="48"/>
      <c r="O673" s="48">
        <v>17551</v>
      </c>
      <c r="P673" s="48"/>
      <c r="Q673" s="48">
        <v>134222</v>
      </c>
      <c r="R673" s="48"/>
      <c r="S673" s="48">
        <v>53656</v>
      </c>
      <c r="T673" s="48"/>
      <c r="U673" s="48">
        <v>0</v>
      </c>
      <c r="V673" s="48"/>
      <c r="W673" s="48">
        <v>0</v>
      </c>
      <c r="X673" s="48"/>
      <c r="Y673" s="48">
        <v>66292</v>
      </c>
      <c r="Z673" s="48"/>
      <c r="AA673" s="48">
        <v>0</v>
      </c>
      <c r="AB673" s="48"/>
      <c r="AC673" s="48">
        <v>0</v>
      </c>
      <c r="AD673" s="48"/>
      <c r="AE673" s="48">
        <f t="shared" si="40"/>
        <v>621502</v>
      </c>
      <c r="AF673" s="48"/>
      <c r="AG673" s="59"/>
      <c r="AH673" s="59"/>
      <c r="AI673" s="59"/>
      <c r="AJ673" s="59"/>
      <c r="AK673" s="59"/>
      <c r="AL673" s="8">
        <f>+'Gen Rev'!AI671-'Gen Exp'!AE673+'Gen Exp'!AI673-AK673</f>
        <v>-64143</v>
      </c>
      <c r="AM673" s="21" t="str">
        <f>'Gen Rev'!A671</f>
        <v>Woodville</v>
      </c>
      <c r="AN673" s="67" t="str">
        <f t="shared" si="38"/>
        <v>Woodville</v>
      </c>
      <c r="AO673" s="67" t="b">
        <f t="shared" si="39"/>
        <v>1</v>
      </c>
    </row>
    <row r="674" spans="1:41" x14ac:dyDescent="0.2">
      <c r="A674" s="1" t="s">
        <v>224</v>
      </c>
      <c r="C674" s="1" t="s">
        <v>532</v>
      </c>
      <c r="E674" s="48">
        <v>0</v>
      </c>
      <c r="F674" s="48"/>
      <c r="G674" s="48">
        <v>1758.83</v>
      </c>
      <c r="H674" s="48"/>
      <c r="I674" s="48">
        <v>0</v>
      </c>
      <c r="J674" s="48"/>
      <c r="K674" s="48">
        <v>0</v>
      </c>
      <c r="L674" s="48"/>
      <c r="M674" s="48">
        <v>0</v>
      </c>
      <c r="N674" s="48"/>
      <c r="O674" s="48">
        <v>0</v>
      </c>
      <c r="P674" s="48"/>
      <c r="Q674" s="48">
        <v>30570.63</v>
      </c>
      <c r="R674" s="48"/>
      <c r="S674" s="48">
        <v>0</v>
      </c>
      <c r="T674" s="48"/>
      <c r="U674" s="48">
        <v>0</v>
      </c>
      <c r="V674" s="48"/>
      <c r="W674" s="48">
        <v>0</v>
      </c>
      <c r="X674" s="48"/>
      <c r="Y674" s="48">
        <v>0</v>
      </c>
      <c r="Z674" s="48"/>
      <c r="AA674" s="48">
        <v>0</v>
      </c>
      <c r="AB674" s="48"/>
      <c r="AC674" s="48">
        <v>1269.32</v>
      </c>
      <c r="AD674" s="48"/>
      <c r="AE674" s="48">
        <f t="shared" si="40"/>
        <v>33598.78</v>
      </c>
      <c r="AG674" s="55">
        <v>4521.46</v>
      </c>
      <c r="AI674" s="55">
        <v>-1104.3900000000001</v>
      </c>
      <c r="AK674" s="55">
        <v>3417.07</v>
      </c>
      <c r="AL674" s="8">
        <f>+'Gen Rev'!AI672-'Gen Exp'!AE674+'Gen Exp'!AI674-AK674</f>
        <v>5.9117155615240335E-12</v>
      </c>
      <c r="AM674" s="21" t="str">
        <f>'Gen Rev'!A672</f>
        <v>Wren</v>
      </c>
      <c r="AN674" s="67" t="str">
        <f t="shared" si="38"/>
        <v>Wren</v>
      </c>
      <c r="AO674" s="67" t="b">
        <f t="shared" si="39"/>
        <v>1</v>
      </c>
    </row>
    <row r="675" spans="1:41" x14ac:dyDescent="0.2">
      <c r="A675" s="1" t="s">
        <v>216</v>
      </c>
      <c r="C675" s="1" t="s">
        <v>518</v>
      </c>
      <c r="E675" s="48">
        <v>2825.47</v>
      </c>
      <c r="F675" s="48"/>
      <c r="G675" s="48">
        <v>0</v>
      </c>
      <c r="H675" s="48"/>
      <c r="I675" s="48">
        <v>0</v>
      </c>
      <c r="J675" s="48"/>
      <c r="K675" s="48">
        <v>0</v>
      </c>
      <c r="L675" s="48"/>
      <c r="M675" s="48">
        <v>0</v>
      </c>
      <c r="N675" s="48"/>
      <c r="O675" s="48">
        <v>1142.1400000000001</v>
      </c>
      <c r="P675" s="48"/>
      <c r="Q675" s="48">
        <v>8858.2900000000009</v>
      </c>
      <c r="R675" s="48"/>
      <c r="S675" s="48">
        <v>0</v>
      </c>
      <c r="T675" s="48"/>
      <c r="U675" s="48">
        <v>0</v>
      </c>
      <c r="V675" s="48"/>
      <c r="W675" s="48">
        <v>0</v>
      </c>
      <c r="X675" s="48"/>
      <c r="Y675" s="48">
        <v>0</v>
      </c>
      <c r="Z675" s="48"/>
      <c r="AA675" s="48">
        <v>0</v>
      </c>
      <c r="AB675" s="48"/>
      <c r="AC675" s="48">
        <v>0</v>
      </c>
      <c r="AD675" s="48"/>
      <c r="AE675" s="48">
        <f t="shared" si="40"/>
        <v>12825.900000000001</v>
      </c>
      <c r="AG675" s="55">
        <v>7845.81</v>
      </c>
      <c r="AI675" s="55">
        <v>40430.33</v>
      </c>
      <c r="AK675" s="55">
        <v>48276.14</v>
      </c>
      <c r="AL675" s="8">
        <f>+'Gen Rev'!AI673-'Gen Exp'!AE675+'Gen Exp'!AI675-AK675</f>
        <v>0</v>
      </c>
      <c r="AM675" s="21" t="str">
        <f>'Gen Rev'!A673</f>
        <v>Yankee Lake</v>
      </c>
      <c r="AN675" s="67" t="str">
        <f t="shared" si="38"/>
        <v>Yankee Lake</v>
      </c>
      <c r="AO675" s="67" t="b">
        <f t="shared" si="39"/>
        <v>1</v>
      </c>
    </row>
    <row r="676" spans="1:41" x14ac:dyDescent="0.2">
      <c r="A676" s="1" t="s">
        <v>348</v>
      </c>
      <c r="C676" s="1" t="s">
        <v>345</v>
      </c>
      <c r="E676" s="48">
        <v>1079821</v>
      </c>
      <c r="F676" s="48"/>
      <c r="G676" s="48">
        <v>5033</v>
      </c>
      <c r="H676" s="48"/>
      <c r="I676" s="48">
        <v>319223</v>
      </c>
      <c r="J676" s="48"/>
      <c r="K676" s="48">
        <v>132944</v>
      </c>
      <c r="L676" s="48"/>
      <c r="M676" s="48">
        <v>0</v>
      </c>
      <c r="N676" s="48"/>
      <c r="O676" s="48">
        <v>0</v>
      </c>
      <c r="P676" s="48"/>
      <c r="Q676" s="48">
        <v>670070</v>
      </c>
      <c r="R676" s="48"/>
      <c r="S676" s="48">
        <v>59275</v>
      </c>
      <c r="T676" s="48"/>
      <c r="U676" s="48">
        <v>0</v>
      </c>
      <c r="V676" s="48"/>
      <c r="W676" s="48">
        <v>0</v>
      </c>
      <c r="X676" s="48"/>
      <c r="Y676" s="48">
        <v>967430</v>
      </c>
      <c r="Z676" s="48"/>
      <c r="AA676" s="48">
        <v>0</v>
      </c>
      <c r="AB676" s="48"/>
      <c r="AC676" s="48">
        <v>0</v>
      </c>
      <c r="AD676" s="48"/>
      <c r="AE676" s="48">
        <f t="shared" si="40"/>
        <v>3233796</v>
      </c>
      <c r="AF676" s="48"/>
      <c r="AG676" s="59"/>
      <c r="AH676" s="59"/>
      <c r="AI676" s="59"/>
      <c r="AJ676" s="59"/>
      <c r="AK676" s="59"/>
      <c r="AL676" s="8">
        <f>+'Gen Rev'!AI674-'Gen Exp'!AE676+'Gen Exp'!AI676-AK676</f>
        <v>-32282</v>
      </c>
      <c r="AM676" s="21" t="str">
        <f>'Gen Rev'!A674</f>
        <v>Yellow Springs</v>
      </c>
      <c r="AN676" s="67" t="str">
        <f t="shared" si="38"/>
        <v>Yellow Springs</v>
      </c>
      <c r="AO676" s="67" t="b">
        <f t="shared" si="39"/>
        <v>1</v>
      </c>
    </row>
    <row r="677" spans="1:41" x14ac:dyDescent="0.2">
      <c r="A677" s="1" t="s">
        <v>317</v>
      </c>
      <c r="C677" s="1" t="s">
        <v>306</v>
      </c>
      <c r="E677" s="48">
        <v>2866</v>
      </c>
      <c r="F677" s="48"/>
      <c r="G677" s="48">
        <v>337</v>
      </c>
      <c r="H677" s="48"/>
      <c r="I677" s="48">
        <v>0</v>
      </c>
      <c r="J677" s="48"/>
      <c r="K677" s="48">
        <v>0</v>
      </c>
      <c r="L677" s="48"/>
      <c r="M677" s="48">
        <v>3034</v>
      </c>
      <c r="N677" s="48"/>
      <c r="O677" s="48">
        <v>0</v>
      </c>
      <c r="P677" s="48"/>
      <c r="Q677" s="48">
        <v>27401</v>
      </c>
      <c r="R677" s="48"/>
      <c r="S677" s="48">
        <v>0</v>
      </c>
      <c r="T677" s="48"/>
      <c r="U677" s="48">
        <v>0</v>
      </c>
      <c r="V677" s="48"/>
      <c r="W677" s="48">
        <v>0</v>
      </c>
      <c r="X677" s="48"/>
      <c r="Y677" s="48">
        <v>0</v>
      </c>
      <c r="Z677" s="48"/>
      <c r="AA677" s="48">
        <v>0</v>
      </c>
      <c r="AB677" s="48"/>
      <c r="AC677" s="48">
        <v>0</v>
      </c>
      <c r="AD677" s="48"/>
      <c r="AE677" s="48">
        <f t="shared" si="40"/>
        <v>33638</v>
      </c>
      <c r="AF677" s="48"/>
      <c r="AG677" s="59"/>
      <c r="AH677" s="59"/>
      <c r="AI677" s="59"/>
      <c r="AJ677" s="59"/>
      <c r="AK677" s="59"/>
      <c r="AL677" s="8">
        <f>+'Gen Rev'!AI675-'Gen Exp'!AE677+'Gen Exp'!AI677-AK677</f>
        <v>9305</v>
      </c>
      <c r="AM677" s="21" t="str">
        <f>'Gen Rev'!A675</f>
        <v>Yorkshire</v>
      </c>
      <c r="AN677" s="67" t="str">
        <f t="shared" si="38"/>
        <v>Yorkshire</v>
      </c>
      <c r="AO677" s="67" t="b">
        <f t="shared" si="39"/>
        <v>1</v>
      </c>
    </row>
    <row r="678" spans="1:41" x14ac:dyDescent="0.2">
      <c r="A678" s="1" t="s">
        <v>394</v>
      </c>
      <c r="C678" s="1" t="s">
        <v>390</v>
      </c>
      <c r="E678" s="48">
        <v>162180</v>
      </c>
      <c r="F678" s="48"/>
      <c r="G678" s="48">
        <v>0</v>
      </c>
      <c r="H678" s="48"/>
      <c r="I678" s="48">
        <v>0</v>
      </c>
      <c r="J678" s="48"/>
      <c r="K678" s="48">
        <v>0</v>
      </c>
      <c r="L678" s="48"/>
      <c r="M678" s="48">
        <v>0</v>
      </c>
      <c r="N678" s="48"/>
      <c r="O678" s="48">
        <v>0</v>
      </c>
      <c r="P678" s="48"/>
      <c r="Q678" s="48">
        <v>122300</v>
      </c>
      <c r="R678" s="48"/>
      <c r="S678" s="48">
        <v>0</v>
      </c>
      <c r="T678" s="48"/>
      <c r="U678" s="48">
        <v>0</v>
      </c>
      <c r="V678" s="48"/>
      <c r="W678" s="48">
        <v>0</v>
      </c>
      <c r="X678" s="48"/>
      <c r="Y678" s="48">
        <v>0</v>
      </c>
      <c r="Z678" s="48"/>
      <c r="AA678" s="48">
        <v>0</v>
      </c>
      <c r="AB678" s="48"/>
      <c r="AC678" s="48">
        <v>0</v>
      </c>
      <c r="AD678" s="48"/>
      <c r="AE678" s="48">
        <f t="shared" si="40"/>
        <v>284480</v>
      </c>
      <c r="AF678" s="48"/>
      <c r="AG678" s="59"/>
      <c r="AH678" s="59"/>
      <c r="AI678" s="59"/>
      <c r="AJ678" s="59"/>
      <c r="AK678" s="59"/>
      <c r="AL678" s="8">
        <f>+'Gen Rev'!AI679-'Gen Exp'!AE678+'Gen Exp'!AI678-AK678</f>
        <v>-33665</v>
      </c>
      <c r="AM678" s="21" t="str">
        <f>'Gen Rev'!A679</f>
        <v>Yorkville</v>
      </c>
      <c r="AN678" s="67" t="str">
        <f t="shared" si="38"/>
        <v>Yorkville</v>
      </c>
      <c r="AO678" s="67" t="b">
        <f t="shared" si="39"/>
        <v>1</v>
      </c>
    </row>
    <row r="679" spans="1:41" x14ac:dyDescent="0.2">
      <c r="A679" s="1" t="s">
        <v>538</v>
      </c>
      <c r="C679" s="1" t="s">
        <v>77</v>
      </c>
      <c r="E679" s="48">
        <v>0</v>
      </c>
      <c r="F679" s="48"/>
      <c r="G679" s="48">
        <v>0</v>
      </c>
      <c r="H679" s="48"/>
      <c r="I679" s="48">
        <v>0</v>
      </c>
      <c r="J679" s="48"/>
      <c r="K679" s="48">
        <v>0</v>
      </c>
      <c r="L679" s="48"/>
      <c r="M679" s="48">
        <v>1602</v>
      </c>
      <c r="N679" s="48"/>
      <c r="O679" s="48">
        <v>0</v>
      </c>
      <c r="P679" s="48"/>
      <c r="Q679" s="48">
        <v>10805</v>
      </c>
      <c r="R679" s="48"/>
      <c r="S679" s="48">
        <v>0</v>
      </c>
      <c r="T679" s="48"/>
      <c r="U679" s="48">
        <v>0</v>
      </c>
      <c r="V679" s="48"/>
      <c r="W679" s="48">
        <v>0</v>
      </c>
      <c r="X679" s="48"/>
      <c r="Y679" s="48">
        <v>0</v>
      </c>
      <c r="Z679" s="48"/>
      <c r="AA679" s="48">
        <v>0</v>
      </c>
      <c r="AB679" s="48"/>
      <c r="AC679" s="48">
        <v>0</v>
      </c>
      <c r="AD679" s="48"/>
      <c r="AE679" s="48">
        <f t="shared" si="40"/>
        <v>12407</v>
      </c>
      <c r="AF679" s="48"/>
      <c r="AG679" s="59"/>
      <c r="AH679" s="59"/>
      <c r="AI679" s="59"/>
      <c r="AJ679" s="59"/>
      <c r="AK679" s="59"/>
      <c r="AL679" s="8">
        <f>+'Gen Rev'!AI680-'Gen Exp'!AE679+'Gen Exp'!AI679-AK679</f>
        <v>3081</v>
      </c>
      <c r="AM679" s="21" t="str">
        <f>'Gen Rev'!A680</f>
        <v>Zaleski</v>
      </c>
      <c r="AN679" s="67" t="str">
        <f t="shared" si="38"/>
        <v>Zaleski</v>
      </c>
      <c r="AO679" s="67" t="b">
        <f t="shared" si="39"/>
        <v>1</v>
      </c>
    </row>
    <row r="680" spans="1:41" x14ac:dyDescent="0.2">
      <c r="A680" s="1" t="s">
        <v>417</v>
      </c>
      <c r="C680" s="1" t="s">
        <v>414</v>
      </c>
      <c r="E680" s="48">
        <v>0</v>
      </c>
      <c r="F680" s="48"/>
      <c r="G680" s="48">
        <v>0</v>
      </c>
      <c r="H680" s="48"/>
      <c r="I680" s="48">
        <v>1345</v>
      </c>
      <c r="J680" s="48"/>
      <c r="K680" s="48">
        <v>500</v>
      </c>
      <c r="L680" s="48"/>
      <c r="M680" s="48">
        <v>0</v>
      </c>
      <c r="N680" s="48"/>
      <c r="O680" s="48">
        <v>0</v>
      </c>
      <c r="P680" s="48"/>
      <c r="Q680" s="48">
        <v>19544</v>
      </c>
      <c r="R680" s="48"/>
      <c r="S680" s="48">
        <v>0</v>
      </c>
      <c r="T680" s="48"/>
      <c r="U680" s="48">
        <v>0</v>
      </c>
      <c r="V680" s="48"/>
      <c r="W680" s="48">
        <v>0</v>
      </c>
      <c r="X680" s="48"/>
      <c r="Y680" s="48">
        <v>0</v>
      </c>
      <c r="Z680" s="48"/>
      <c r="AA680" s="48">
        <v>0</v>
      </c>
      <c r="AB680" s="48"/>
      <c r="AC680" s="48">
        <v>0</v>
      </c>
      <c r="AD680" s="48"/>
      <c r="AE680" s="48">
        <f t="shared" si="40"/>
        <v>21389</v>
      </c>
      <c r="AF680" s="48"/>
      <c r="AG680" s="59"/>
      <c r="AH680" s="59"/>
      <c r="AI680" s="59"/>
      <c r="AJ680" s="59"/>
      <c r="AK680" s="59"/>
      <c r="AL680" s="8">
        <f>+'Gen Rev'!AI681-'Gen Exp'!AE680+'Gen Exp'!AI680-AK680</f>
        <v>-4093</v>
      </c>
      <c r="AM680" s="21" t="str">
        <f>'Gen Rev'!A681</f>
        <v>Zanesfield</v>
      </c>
      <c r="AN680" s="67" t="str">
        <f t="shared" si="38"/>
        <v>Zanesfield</v>
      </c>
      <c r="AO680" s="67" t="b">
        <f t="shared" si="39"/>
        <v>1</v>
      </c>
    </row>
    <row r="681" spans="1:41" x14ac:dyDescent="0.2">
      <c r="A681" s="1" t="s">
        <v>220</v>
      </c>
      <c r="C681" s="1" t="s">
        <v>521</v>
      </c>
      <c r="E681" s="48">
        <v>4366.91</v>
      </c>
      <c r="F681" s="48"/>
      <c r="G681" s="48">
        <v>6.3</v>
      </c>
      <c r="H681" s="48"/>
      <c r="I681" s="48">
        <v>942.3</v>
      </c>
      <c r="J681" s="48"/>
      <c r="K681" s="48">
        <v>600</v>
      </c>
      <c r="L681" s="48"/>
      <c r="M681" s="48">
        <v>0</v>
      </c>
      <c r="N681" s="48"/>
      <c r="O681" s="48">
        <v>3522.5</v>
      </c>
      <c r="P681" s="48"/>
      <c r="Q681" s="48">
        <v>15604.37</v>
      </c>
      <c r="R681" s="48"/>
      <c r="S681" s="48">
        <v>0</v>
      </c>
      <c r="T681" s="48"/>
      <c r="U681" s="48">
        <v>0</v>
      </c>
      <c r="V681" s="48"/>
      <c r="W681" s="48">
        <v>0</v>
      </c>
      <c r="X681" s="48"/>
      <c r="Y681" s="48">
        <v>0</v>
      </c>
      <c r="Z681" s="48"/>
      <c r="AA681" s="48">
        <v>0</v>
      </c>
      <c r="AB681" s="48"/>
      <c r="AC681" s="48">
        <v>0</v>
      </c>
      <c r="AD681" s="48"/>
      <c r="AE681" s="48">
        <f t="shared" si="40"/>
        <v>25042.38</v>
      </c>
      <c r="AG681" s="55">
        <v>393.52</v>
      </c>
      <c r="AI681" s="55">
        <v>29748.91</v>
      </c>
      <c r="AK681" s="55">
        <v>30142.43</v>
      </c>
      <c r="AL681" s="8">
        <f>+'Gen Rev'!AI682-'Gen Exp'!AE681+'Gen Exp'!AI681-AK681</f>
        <v>0</v>
      </c>
      <c r="AM681" s="21" t="str">
        <f>'Gen Rev'!A682</f>
        <v>Zoar</v>
      </c>
      <c r="AN681" s="67" t="str">
        <f t="shared" si="38"/>
        <v>Zoar</v>
      </c>
      <c r="AO681" s="67" t="b">
        <f t="shared" si="39"/>
        <v>1</v>
      </c>
    </row>
  </sheetData>
  <sortState ref="A9:AK1159">
    <sortCondition ref="A9:A1159"/>
    <sortCondition ref="C9:C1159"/>
  </sortState>
  <printOptions horizontalCentered="1"/>
  <pageMargins left="0.5" right="0.5" top="0.5" bottom="0.5" header="0" footer="0.3"/>
  <pageSetup scale="82" firstPageNumber="30" fitToWidth="2" fitToHeight="14" pageOrder="overThenDown" orientation="portrait" useFirstPageNumber="1" horizontalDpi="1200" verticalDpi="1200" r:id="rId1"/>
  <headerFooter scaleWithDoc="0" alignWithMargins="0">
    <oddFooter>&amp;C&amp;P</oddFooter>
  </headerFooter>
  <rowBreaks count="1" manualBreakCount="1">
    <brk id="462" max="30" man="1"/>
  </rowBreaks>
  <colBreaks count="1" manualBreakCount="1">
    <brk id="16" max="6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2"/>
  <sheetViews>
    <sheetView view="pageBreakPreview" zoomScale="80" zoomScaleNormal="100" zoomScaleSheetLayoutView="80" workbookViewId="0">
      <pane xSplit="4" ySplit="7" topLeftCell="E98" activePane="bottomRight" state="frozen"/>
      <selection pane="topRight" activeCell="E1" sqref="E1"/>
      <selection pane="bottomLeft" activeCell="A8" sqref="A8"/>
      <selection pane="bottomRight" activeCell="A116" sqref="A116"/>
    </sheetView>
  </sheetViews>
  <sheetFormatPr defaultColWidth="9.33203125" defaultRowHeight="12" x14ac:dyDescent="0.2"/>
  <cols>
    <col min="1" max="1" width="18.5" style="6" customWidth="1"/>
    <col min="2" max="2" width="1.83203125" style="6" customWidth="1"/>
    <col min="3" max="3" width="13" style="6" customWidth="1"/>
    <col min="4" max="4" width="1.6640625" style="6" customWidth="1"/>
    <col min="5" max="5" width="11.83203125" style="8" customWidth="1"/>
    <col min="6" max="6" width="1.33203125" style="8" customWidth="1"/>
    <col min="7" max="7" width="11.83203125" style="8" customWidth="1"/>
    <col min="8" max="8" width="1.33203125" style="8" customWidth="1"/>
    <col min="9" max="9" width="11.83203125" style="8" customWidth="1"/>
    <col min="10" max="10" width="1.33203125" style="8" customWidth="1"/>
    <col min="11" max="11" width="11.83203125" style="8" customWidth="1"/>
    <col min="12" max="12" width="1.33203125" style="8" customWidth="1"/>
    <col min="13" max="13" width="11.83203125" style="8" customWidth="1"/>
    <col min="14" max="14" width="1.33203125" style="8" customWidth="1"/>
    <col min="15" max="15" width="11.83203125" style="8" customWidth="1"/>
    <col min="16" max="16" width="1.33203125" style="8" customWidth="1"/>
    <col min="17" max="17" width="11.83203125" style="8" customWidth="1"/>
    <col min="18" max="18" width="1.83203125" style="8" customWidth="1"/>
    <col min="19" max="19" width="11.83203125" style="8" customWidth="1"/>
    <col min="20" max="20" width="1.83203125" style="8" customWidth="1"/>
    <col min="21" max="21" width="11.83203125" style="8" customWidth="1"/>
    <col min="22" max="22" width="1.83203125" style="8" customWidth="1"/>
    <col min="23" max="23" width="11.83203125" style="8" customWidth="1"/>
    <col min="24" max="24" width="1.83203125" style="8" customWidth="1"/>
    <col min="25" max="25" width="11.83203125" style="8" customWidth="1"/>
    <col min="26" max="26" width="1.83203125" style="8" customWidth="1"/>
    <col min="27" max="27" width="11.83203125" style="8" customWidth="1"/>
    <col min="28" max="28" width="1.83203125" style="8" customWidth="1"/>
    <col min="29" max="29" width="11.83203125" style="8" customWidth="1"/>
    <col min="30" max="30" width="1.83203125" style="8" customWidth="1"/>
    <col min="31" max="31" width="11.83203125" style="8" customWidth="1"/>
    <col min="32" max="32" width="1.83203125" style="8" customWidth="1"/>
    <col min="33" max="33" width="11.83203125" style="8" customWidth="1"/>
    <col min="34" max="34" width="1.83203125" style="8" customWidth="1"/>
    <col min="35" max="35" width="12.83203125" style="6" customWidth="1"/>
    <col min="36" max="36" width="1.83203125" style="6" customWidth="1"/>
    <col min="37" max="37" width="10.6640625" style="6" bestFit="1" customWidth="1"/>
    <col min="38" max="16384" width="9.33203125" style="6"/>
  </cols>
  <sheetData>
    <row r="1" spans="1:42" ht="12.6" customHeight="1" x14ac:dyDescent="0.2">
      <c r="A1" s="6" t="s">
        <v>572</v>
      </c>
    </row>
    <row r="2" spans="1:42" ht="12.6" customHeight="1" x14ac:dyDescent="0.2">
      <c r="A2" s="6" t="s">
        <v>740</v>
      </c>
    </row>
    <row r="3" spans="1:42" ht="12.6" customHeight="1" x14ac:dyDescent="0.2">
      <c r="A3" s="6" t="s">
        <v>844</v>
      </c>
      <c r="G3" s="24"/>
      <c r="H3" s="24"/>
    </row>
    <row r="4" spans="1:42" ht="12.6" customHeight="1" x14ac:dyDescent="0.2">
      <c r="A4" s="6" t="s">
        <v>733</v>
      </c>
    </row>
    <row r="5" spans="1:42" s="29" customFormat="1" ht="12.6" customHeight="1" x14ac:dyDescent="0.2">
      <c r="A5" s="25"/>
      <c r="B5" s="25"/>
      <c r="C5" s="25"/>
      <c r="D5" s="25"/>
      <c r="E5" s="26" t="s">
        <v>573</v>
      </c>
      <c r="F5" s="26"/>
      <c r="G5" s="27"/>
      <c r="H5" s="27"/>
      <c r="I5" s="27"/>
      <c r="J5" s="27"/>
      <c r="K5" s="27"/>
      <c r="L5" s="27"/>
      <c r="M5" s="27"/>
      <c r="N5" s="27"/>
      <c r="O5" s="26" t="s">
        <v>829</v>
      </c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6" t="s">
        <v>592</v>
      </c>
      <c r="AF5" s="26"/>
      <c r="AG5" s="26" t="s">
        <v>839</v>
      </c>
      <c r="AH5" s="26"/>
      <c r="AI5" s="28"/>
      <c r="AJ5" s="28"/>
      <c r="AK5" s="28"/>
      <c r="AL5" s="28"/>
      <c r="AM5" s="28"/>
      <c r="AN5" s="28"/>
      <c r="AO5" s="28"/>
      <c r="AP5" s="28"/>
    </row>
    <row r="6" spans="1:42" s="29" customFormat="1" ht="12.6" customHeight="1" x14ac:dyDescent="0.2">
      <c r="A6" s="25"/>
      <c r="B6" s="25"/>
      <c r="C6" s="25"/>
      <c r="D6" s="25"/>
      <c r="E6" s="26" t="s">
        <v>574</v>
      </c>
      <c r="F6" s="26"/>
      <c r="G6" s="26" t="s">
        <v>576</v>
      </c>
      <c r="H6" s="26"/>
      <c r="I6" s="26" t="s">
        <v>578</v>
      </c>
      <c r="J6" s="26"/>
      <c r="K6" s="26" t="s">
        <v>580</v>
      </c>
      <c r="L6" s="26"/>
      <c r="M6" s="26" t="s">
        <v>582</v>
      </c>
      <c r="N6" s="26"/>
      <c r="O6" s="26" t="s">
        <v>585</v>
      </c>
      <c r="P6" s="26"/>
      <c r="Q6" s="26" t="s">
        <v>587</v>
      </c>
      <c r="R6" s="26"/>
      <c r="S6" s="27"/>
      <c r="T6" s="27"/>
      <c r="U6" s="30" t="s">
        <v>735</v>
      </c>
      <c r="V6" s="27"/>
      <c r="W6" s="30" t="s">
        <v>735</v>
      </c>
      <c r="X6" s="27"/>
      <c r="Y6" s="26" t="s">
        <v>589</v>
      </c>
      <c r="Z6" s="26"/>
      <c r="AA6" s="27"/>
      <c r="AB6" s="27"/>
      <c r="AC6" s="27"/>
      <c r="AD6" s="27"/>
      <c r="AE6" s="26" t="s">
        <v>593</v>
      </c>
      <c r="AF6" s="26"/>
      <c r="AG6" s="26" t="s">
        <v>672</v>
      </c>
      <c r="AH6" s="26"/>
      <c r="AI6" s="28"/>
      <c r="AJ6" s="28"/>
      <c r="AK6" s="28"/>
      <c r="AL6" s="28"/>
      <c r="AM6" s="28"/>
      <c r="AN6" s="28"/>
      <c r="AO6" s="28"/>
      <c r="AP6" s="28"/>
    </row>
    <row r="7" spans="1:42" s="32" customFormat="1" ht="12.6" customHeight="1" x14ac:dyDescent="0.2">
      <c r="A7" s="31" t="s">
        <v>674</v>
      </c>
      <c r="C7" s="31" t="s">
        <v>675</v>
      </c>
      <c r="E7" s="33" t="s">
        <v>575</v>
      </c>
      <c r="F7" s="34"/>
      <c r="G7" s="33" t="s">
        <v>577</v>
      </c>
      <c r="H7" s="34"/>
      <c r="I7" s="10" t="s">
        <v>579</v>
      </c>
      <c r="J7" s="22"/>
      <c r="K7" s="10" t="s">
        <v>581</v>
      </c>
      <c r="L7" s="22"/>
      <c r="M7" s="10" t="s">
        <v>583</v>
      </c>
      <c r="N7" s="22"/>
      <c r="O7" s="10" t="s">
        <v>586</v>
      </c>
      <c r="P7" s="22"/>
      <c r="Q7" s="10" t="s">
        <v>588</v>
      </c>
      <c r="R7" s="22"/>
      <c r="S7" s="10" t="s">
        <v>568</v>
      </c>
      <c r="T7" s="22"/>
      <c r="U7" s="37" t="s">
        <v>736</v>
      </c>
      <c r="V7" s="38"/>
      <c r="W7" s="37" t="s">
        <v>737</v>
      </c>
      <c r="X7" s="38"/>
      <c r="Y7" s="10" t="s">
        <v>590</v>
      </c>
      <c r="Z7" s="22"/>
      <c r="AA7" s="35" t="s">
        <v>570</v>
      </c>
      <c r="AB7" s="36"/>
      <c r="AC7" s="35" t="s">
        <v>591</v>
      </c>
      <c r="AD7" s="36"/>
      <c r="AE7" s="10" t="s">
        <v>594</v>
      </c>
      <c r="AF7" s="22"/>
      <c r="AG7" s="10" t="s">
        <v>684</v>
      </c>
      <c r="AH7" s="22"/>
      <c r="AI7" s="31" t="s">
        <v>698</v>
      </c>
    </row>
    <row r="8" spans="1:42" s="32" customFormat="1" ht="12" customHeight="1" x14ac:dyDescent="0.2">
      <c r="E8" s="34"/>
      <c r="F8" s="34"/>
      <c r="G8" s="34"/>
      <c r="H8" s="3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8"/>
      <c r="V8" s="38"/>
      <c r="W8" s="38"/>
      <c r="X8" s="38"/>
      <c r="Y8" s="22"/>
      <c r="Z8" s="22"/>
      <c r="AA8" s="36"/>
      <c r="AB8" s="36"/>
      <c r="AC8" s="36"/>
      <c r="AD8" s="36"/>
      <c r="AE8" s="22"/>
      <c r="AF8" s="22"/>
      <c r="AG8" s="22"/>
      <c r="AH8" s="22"/>
      <c r="AI8" s="65"/>
      <c r="AK8" s="6"/>
      <c r="AL8" s="6"/>
      <c r="AM8" s="6"/>
    </row>
    <row r="9" spans="1:42" ht="12" customHeight="1" x14ac:dyDescent="0.2">
      <c r="A9" s="6" t="s">
        <v>264</v>
      </c>
      <c r="C9" s="6" t="s">
        <v>265</v>
      </c>
      <c r="E9" s="52">
        <v>40357.42</v>
      </c>
      <c r="F9" s="52"/>
      <c r="G9" s="52">
        <v>124003.3</v>
      </c>
      <c r="H9" s="52"/>
      <c r="I9" s="52">
        <v>223885.38</v>
      </c>
      <c r="J9" s="52"/>
      <c r="K9" s="52">
        <v>0</v>
      </c>
      <c r="L9" s="52"/>
      <c r="M9" s="52">
        <v>124787.56</v>
      </c>
      <c r="N9" s="52"/>
      <c r="O9" s="52">
        <v>93066.27</v>
      </c>
      <c r="P9" s="52"/>
      <c r="Q9" s="52">
        <v>403.29</v>
      </c>
      <c r="R9" s="52"/>
      <c r="S9" s="52">
        <v>8511.86</v>
      </c>
      <c r="T9" s="52"/>
      <c r="U9" s="52">
        <v>0</v>
      </c>
      <c r="V9" s="52"/>
      <c r="W9" s="52">
        <v>0</v>
      </c>
      <c r="X9" s="52"/>
      <c r="Y9" s="52">
        <v>0</v>
      </c>
      <c r="Z9" s="52"/>
      <c r="AA9" s="52">
        <v>169865.57</v>
      </c>
      <c r="AB9" s="52"/>
      <c r="AC9" s="52">
        <v>0</v>
      </c>
      <c r="AD9" s="52"/>
      <c r="AE9" s="52">
        <v>0</v>
      </c>
      <c r="AF9" s="52"/>
      <c r="AG9" s="52">
        <v>29552.98</v>
      </c>
      <c r="AH9" s="49"/>
      <c r="AI9" s="52">
        <f t="shared" ref="AI9" si="0">SUM(E9:AG9)</f>
        <v>814433.62999999989</v>
      </c>
      <c r="AJ9" s="18"/>
      <c r="AK9" s="6" t="str">
        <f>'Gen Rev'!A9</f>
        <v>Aberdeen</v>
      </c>
      <c r="AL9" s="6" t="str">
        <f t="shared" ref="AL9:AL72" si="1">A9</f>
        <v>Aberdeen</v>
      </c>
      <c r="AM9" s="6" t="b">
        <f t="shared" ref="AM9:AM72" si="2">AK9=AL9</f>
        <v>1</v>
      </c>
    </row>
    <row r="10" spans="1:42" s="14" customFormat="1" ht="12" customHeight="1" x14ac:dyDescent="0.2">
      <c r="A10" s="6" t="s">
        <v>365</v>
      </c>
      <c r="B10" s="6"/>
      <c r="C10" s="6" t="s">
        <v>366</v>
      </c>
      <c r="D10" s="6"/>
      <c r="E10" s="49">
        <v>1843005</v>
      </c>
      <c r="F10" s="49"/>
      <c r="G10" s="49">
        <v>0</v>
      </c>
      <c r="H10" s="49"/>
      <c r="I10" s="49">
        <f>3161522+1062617</f>
        <v>4224139</v>
      </c>
      <c r="J10" s="49"/>
      <c r="K10" s="49">
        <v>198176</v>
      </c>
      <c r="L10" s="49"/>
      <c r="M10" s="49">
        <v>77092</v>
      </c>
      <c r="N10" s="49"/>
      <c r="O10" s="49">
        <v>42075</v>
      </c>
      <c r="P10" s="49"/>
      <c r="Q10" s="49">
        <v>16195</v>
      </c>
      <c r="R10" s="49"/>
      <c r="S10" s="49">
        <v>1597548</v>
      </c>
      <c r="T10" s="49"/>
      <c r="U10" s="49">
        <v>0</v>
      </c>
      <c r="V10" s="49"/>
      <c r="W10" s="49">
        <v>0</v>
      </c>
      <c r="X10" s="49"/>
      <c r="Y10" s="49">
        <v>0</v>
      </c>
      <c r="Z10" s="49"/>
      <c r="AA10" s="49">
        <v>0</v>
      </c>
      <c r="AB10" s="49"/>
      <c r="AC10" s="49">
        <v>0</v>
      </c>
      <c r="AD10" s="49"/>
      <c r="AE10" s="49">
        <v>71293</v>
      </c>
      <c r="AF10" s="49"/>
      <c r="AG10" s="49">
        <v>0</v>
      </c>
      <c r="AH10" s="49"/>
      <c r="AI10" s="49">
        <f>SUM(E10:AG10)</f>
        <v>8069523</v>
      </c>
      <c r="AJ10" s="8"/>
      <c r="AK10" s="6" t="str">
        <f>'Gen Rev'!A10</f>
        <v>Ada</v>
      </c>
      <c r="AL10" s="6" t="str">
        <f t="shared" si="1"/>
        <v>Ada</v>
      </c>
      <c r="AM10" s="6" t="b">
        <f t="shared" si="2"/>
        <v>1</v>
      </c>
    </row>
    <row r="11" spans="1:42" ht="12" customHeight="1" x14ac:dyDescent="0.2">
      <c r="A11" s="6" t="s">
        <v>449</v>
      </c>
      <c r="C11" s="6" t="s">
        <v>450</v>
      </c>
      <c r="E11" s="49">
        <f>2273+6706</f>
        <v>8979</v>
      </c>
      <c r="F11" s="49"/>
      <c r="G11" s="49">
        <v>0</v>
      </c>
      <c r="H11" s="49"/>
      <c r="I11" s="49">
        <v>10428</v>
      </c>
      <c r="J11" s="49"/>
      <c r="K11" s="49">
        <v>0</v>
      </c>
      <c r="L11" s="49"/>
      <c r="M11" s="49">
        <v>0</v>
      </c>
      <c r="N11" s="49"/>
      <c r="O11" s="49">
        <v>0</v>
      </c>
      <c r="P11" s="49"/>
      <c r="Q11" s="49">
        <v>96</v>
      </c>
      <c r="R11" s="49"/>
      <c r="S11" s="49">
        <v>0</v>
      </c>
      <c r="T11" s="49"/>
      <c r="U11" s="49">
        <v>0</v>
      </c>
      <c r="V11" s="49"/>
      <c r="W11" s="49">
        <v>0</v>
      </c>
      <c r="X11" s="49"/>
      <c r="Y11" s="49">
        <v>0</v>
      </c>
      <c r="Z11" s="49"/>
      <c r="AA11" s="49">
        <v>0</v>
      </c>
      <c r="AB11" s="49"/>
      <c r="AC11" s="49">
        <v>0</v>
      </c>
      <c r="AD11" s="49"/>
      <c r="AE11" s="49">
        <v>0</v>
      </c>
      <c r="AF11" s="49"/>
      <c r="AG11" s="49">
        <v>0</v>
      </c>
      <c r="AH11" s="49"/>
      <c r="AI11" s="49">
        <f t="shared" ref="AI11:AI77" si="3">SUM(E11:AG11)</f>
        <v>19503</v>
      </c>
      <c r="AJ11" s="8"/>
      <c r="AK11" s="6" t="str">
        <f>'Gen Rev'!A11</f>
        <v>Adamsville</v>
      </c>
      <c r="AL11" s="6" t="str">
        <f t="shared" si="1"/>
        <v>Adamsville</v>
      </c>
      <c r="AM11" s="6" t="b">
        <f t="shared" si="2"/>
        <v>1</v>
      </c>
      <c r="AN11" s="14"/>
      <c r="AO11" s="14"/>
      <c r="AP11" s="14"/>
    </row>
    <row r="12" spans="1:42" ht="12" customHeight="1" x14ac:dyDescent="0.2">
      <c r="A12" s="6" t="s">
        <v>86</v>
      </c>
      <c r="C12" s="6" t="s">
        <v>351</v>
      </c>
      <c r="E12" s="49">
        <v>220050.27</v>
      </c>
      <c r="F12" s="49"/>
      <c r="G12" s="49">
        <v>531613.81000000006</v>
      </c>
      <c r="H12" s="49"/>
      <c r="I12" s="49">
        <v>15598.46</v>
      </c>
      <c r="J12" s="49"/>
      <c r="K12" s="49">
        <v>0</v>
      </c>
      <c r="L12" s="49"/>
      <c r="M12" s="49">
        <v>77057.06</v>
      </c>
      <c r="N12" s="49"/>
      <c r="O12" s="49">
        <v>115086.39999999999</v>
      </c>
      <c r="P12" s="49"/>
      <c r="Q12" s="49">
        <v>0</v>
      </c>
      <c r="R12" s="49"/>
      <c r="S12" s="49">
        <v>0</v>
      </c>
      <c r="T12" s="49"/>
      <c r="U12" s="49">
        <v>0</v>
      </c>
      <c r="V12" s="49"/>
      <c r="W12" s="49">
        <v>0</v>
      </c>
      <c r="X12" s="49"/>
      <c r="Y12" s="49">
        <v>0</v>
      </c>
      <c r="Z12" s="49"/>
      <c r="AA12" s="49">
        <v>12000</v>
      </c>
      <c r="AB12" s="49"/>
      <c r="AC12" s="49">
        <v>0</v>
      </c>
      <c r="AD12" s="49"/>
      <c r="AE12" s="49">
        <v>0</v>
      </c>
      <c r="AF12" s="49"/>
      <c r="AG12" s="49">
        <v>0</v>
      </c>
      <c r="AH12" s="49"/>
      <c r="AI12" s="49">
        <f t="shared" si="3"/>
        <v>971406.00000000012</v>
      </c>
      <c r="AJ12" s="8"/>
      <c r="AK12" s="6" t="str">
        <f>'Gen Rev'!A12</f>
        <v>Addyston</v>
      </c>
      <c r="AL12" s="6" t="str">
        <f t="shared" si="1"/>
        <v>Addyston</v>
      </c>
      <c r="AM12" s="6" t="b">
        <f t="shared" si="2"/>
        <v>1</v>
      </c>
    </row>
    <row r="13" spans="1:42" ht="12" customHeight="1" x14ac:dyDescent="0.2">
      <c r="A13" s="6" t="s">
        <v>195</v>
      </c>
      <c r="C13" s="6" t="s">
        <v>485</v>
      </c>
      <c r="E13" s="49">
        <v>33174.089999999997</v>
      </c>
      <c r="F13" s="49"/>
      <c r="G13" s="49">
        <v>0</v>
      </c>
      <c r="H13" s="49"/>
      <c r="I13" s="49">
        <v>35145.040000000001</v>
      </c>
      <c r="J13" s="49"/>
      <c r="K13" s="49">
        <v>0</v>
      </c>
      <c r="L13" s="49"/>
      <c r="M13" s="49">
        <v>0</v>
      </c>
      <c r="N13" s="49"/>
      <c r="O13" s="49">
        <v>3870.8</v>
      </c>
      <c r="P13" s="49"/>
      <c r="Q13" s="49">
        <v>84.01</v>
      </c>
      <c r="R13" s="49"/>
      <c r="S13" s="49">
        <v>2838.94</v>
      </c>
      <c r="T13" s="49"/>
      <c r="U13" s="49">
        <v>0</v>
      </c>
      <c r="V13" s="49"/>
      <c r="W13" s="49">
        <v>0</v>
      </c>
      <c r="X13" s="49"/>
      <c r="Y13" s="49">
        <v>0</v>
      </c>
      <c r="Z13" s="49"/>
      <c r="AA13" s="49">
        <v>0</v>
      </c>
      <c r="AB13" s="49"/>
      <c r="AC13" s="49">
        <v>0</v>
      </c>
      <c r="AD13" s="49"/>
      <c r="AE13" s="49">
        <v>0</v>
      </c>
      <c r="AF13" s="49"/>
      <c r="AG13" s="49">
        <v>0</v>
      </c>
      <c r="AH13" s="49"/>
      <c r="AI13" s="49">
        <f t="shared" si="3"/>
        <v>75112.88</v>
      </c>
      <c r="AJ13" s="8"/>
      <c r="AK13" s="6" t="str">
        <f>'Gen Rev'!A13</f>
        <v>Adelphi</v>
      </c>
      <c r="AL13" s="6" t="str">
        <f t="shared" si="1"/>
        <v>Adelphi</v>
      </c>
      <c r="AM13" s="6" t="b">
        <f t="shared" si="2"/>
        <v>1</v>
      </c>
      <c r="AN13" s="13"/>
      <c r="AO13" s="13"/>
      <c r="AP13" s="13"/>
    </row>
    <row r="14" spans="1:42" s="14" customFormat="1" ht="12" customHeight="1" x14ac:dyDescent="0.2">
      <c r="A14" s="6" t="s">
        <v>759</v>
      </c>
      <c r="B14" s="6"/>
      <c r="C14" s="6" t="s">
        <v>390</v>
      </c>
      <c r="D14" s="6"/>
      <c r="E14" s="49">
        <v>106508</v>
      </c>
      <c r="F14" s="49"/>
      <c r="G14" s="49">
        <v>0</v>
      </c>
      <c r="H14" s="49"/>
      <c r="I14" s="49">
        <v>81749</v>
      </c>
      <c r="J14" s="49"/>
      <c r="K14" s="49">
        <v>0</v>
      </c>
      <c r="L14" s="49"/>
      <c r="M14" s="49">
        <v>0</v>
      </c>
      <c r="N14" s="49"/>
      <c r="O14" s="49">
        <v>1035</v>
      </c>
      <c r="P14" s="49"/>
      <c r="Q14" s="49">
        <v>0</v>
      </c>
      <c r="R14" s="49"/>
      <c r="S14" s="49">
        <v>103371</v>
      </c>
      <c r="T14" s="49"/>
      <c r="U14" s="49">
        <v>0</v>
      </c>
      <c r="V14" s="49"/>
      <c r="W14" s="49">
        <v>0</v>
      </c>
      <c r="X14" s="49"/>
      <c r="Y14" s="49">
        <v>0</v>
      </c>
      <c r="Z14" s="49"/>
      <c r="AA14" s="49">
        <v>43632</v>
      </c>
      <c r="AB14" s="49"/>
      <c r="AC14" s="49">
        <v>0</v>
      </c>
      <c r="AD14" s="49"/>
      <c r="AE14" s="49">
        <v>0</v>
      </c>
      <c r="AF14" s="49"/>
      <c r="AG14" s="49">
        <v>0</v>
      </c>
      <c r="AH14" s="49"/>
      <c r="AI14" s="49">
        <f t="shared" si="3"/>
        <v>336295</v>
      </c>
      <c r="AJ14" s="8"/>
      <c r="AK14" s="6" t="str">
        <f>'Gen Rev'!A14</f>
        <v>Adena</v>
      </c>
      <c r="AL14" s="6" t="str">
        <f t="shared" si="1"/>
        <v>Adena</v>
      </c>
      <c r="AM14" s="6" t="b">
        <f t="shared" si="2"/>
        <v>1</v>
      </c>
    </row>
    <row r="15" spans="1:42" s="14" customFormat="1" ht="12" customHeight="1" x14ac:dyDescent="0.2">
      <c r="A15" s="6" t="s">
        <v>252</v>
      </c>
      <c r="B15" s="6"/>
      <c r="C15" s="6" t="s">
        <v>253</v>
      </c>
      <c r="D15" s="6"/>
      <c r="E15" s="49">
        <v>98948.85</v>
      </c>
      <c r="F15" s="49"/>
      <c r="G15" s="49">
        <v>0</v>
      </c>
      <c r="H15" s="49"/>
      <c r="I15" s="49">
        <v>97393.279999999999</v>
      </c>
      <c r="J15" s="49"/>
      <c r="K15" s="49">
        <v>0</v>
      </c>
      <c r="L15" s="49"/>
      <c r="M15" s="49">
        <v>7500</v>
      </c>
      <c r="N15" s="49"/>
      <c r="O15" s="49">
        <v>16220.9</v>
      </c>
      <c r="P15" s="49"/>
      <c r="Q15" s="49">
        <v>1456.28</v>
      </c>
      <c r="R15" s="49"/>
      <c r="S15" s="49">
        <v>2984.28</v>
      </c>
      <c r="T15" s="49"/>
      <c r="U15" s="49">
        <v>0</v>
      </c>
      <c r="V15" s="49"/>
      <c r="W15" s="49">
        <v>0</v>
      </c>
      <c r="X15" s="49"/>
      <c r="Y15" s="49">
        <v>0</v>
      </c>
      <c r="Z15" s="49"/>
      <c r="AA15" s="49">
        <v>0</v>
      </c>
      <c r="AB15" s="49"/>
      <c r="AC15" s="49">
        <v>0</v>
      </c>
      <c r="AD15" s="49"/>
      <c r="AE15" s="49">
        <v>0</v>
      </c>
      <c r="AF15" s="49"/>
      <c r="AG15" s="49">
        <v>0</v>
      </c>
      <c r="AH15" s="49"/>
      <c r="AI15" s="49">
        <f t="shared" si="3"/>
        <v>224503.59</v>
      </c>
      <c r="AJ15" s="8"/>
      <c r="AK15" s="6" t="str">
        <f>'Gen Rev'!A15</f>
        <v>Albany</v>
      </c>
      <c r="AL15" s="6" t="str">
        <f t="shared" si="1"/>
        <v>Albany</v>
      </c>
      <c r="AM15" s="6" t="b">
        <f t="shared" si="2"/>
        <v>1</v>
      </c>
    </row>
    <row r="16" spans="1:42" s="14" customFormat="1" ht="12" customHeight="1" x14ac:dyDescent="0.2">
      <c r="A16" s="6" t="s">
        <v>121</v>
      </c>
      <c r="B16" s="6"/>
      <c r="C16" s="6" t="s">
        <v>408</v>
      </c>
      <c r="D16" s="6"/>
      <c r="E16" s="49">
        <v>42274.57</v>
      </c>
      <c r="F16" s="49"/>
      <c r="G16" s="49">
        <v>0</v>
      </c>
      <c r="H16" s="49"/>
      <c r="I16" s="49">
        <v>67338.36</v>
      </c>
      <c r="J16" s="49"/>
      <c r="K16" s="49">
        <v>0</v>
      </c>
      <c r="L16" s="49"/>
      <c r="M16" s="49">
        <v>15</v>
      </c>
      <c r="N16" s="49"/>
      <c r="O16" s="49">
        <v>4341.24</v>
      </c>
      <c r="P16" s="49"/>
      <c r="Q16" s="49">
        <v>539.91</v>
      </c>
      <c r="R16" s="49"/>
      <c r="S16" s="49">
        <v>4813.88</v>
      </c>
      <c r="T16" s="49"/>
      <c r="U16" s="49">
        <v>0</v>
      </c>
      <c r="V16" s="49"/>
      <c r="W16" s="49">
        <v>0</v>
      </c>
      <c r="X16" s="49"/>
      <c r="Y16" s="49">
        <v>0</v>
      </c>
      <c r="Z16" s="49"/>
      <c r="AA16" s="49">
        <v>2064.36</v>
      </c>
      <c r="AB16" s="49"/>
      <c r="AC16" s="49">
        <v>0</v>
      </c>
      <c r="AD16" s="49"/>
      <c r="AE16" s="49">
        <v>0</v>
      </c>
      <c r="AF16" s="49"/>
      <c r="AG16" s="49">
        <v>0</v>
      </c>
      <c r="AH16" s="49"/>
      <c r="AI16" s="49">
        <f t="shared" si="3"/>
        <v>121387.32</v>
      </c>
      <c r="AJ16" s="8"/>
      <c r="AK16" s="6" t="str">
        <f>'Gen Rev'!A16</f>
        <v>Alexandria</v>
      </c>
      <c r="AL16" s="6" t="str">
        <f t="shared" si="1"/>
        <v>Alexandria</v>
      </c>
      <c r="AM16" s="6" t="b">
        <f t="shared" si="2"/>
        <v>1</v>
      </c>
    </row>
    <row r="17" spans="1:42" s="14" customFormat="1" ht="12" customHeight="1" x14ac:dyDescent="0.2">
      <c r="A17" s="6" t="s">
        <v>652</v>
      </c>
      <c r="B17" s="6"/>
      <c r="C17" s="6" t="s">
        <v>366</v>
      </c>
      <c r="D17" s="6"/>
      <c r="E17" s="49">
        <v>22360.19</v>
      </c>
      <c r="F17" s="49"/>
      <c r="G17" s="49">
        <v>51576.94</v>
      </c>
      <c r="H17" s="49"/>
      <c r="I17" s="49">
        <v>52008.7</v>
      </c>
      <c r="J17" s="49"/>
      <c r="K17" s="49">
        <v>27273.98</v>
      </c>
      <c r="L17" s="49"/>
      <c r="M17" s="49">
        <v>0</v>
      </c>
      <c r="N17" s="49"/>
      <c r="O17" s="49">
        <v>4946.57</v>
      </c>
      <c r="P17" s="49"/>
      <c r="Q17" s="49">
        <v>498.83</v>
      </c>
      <c r="R17" s="49"/>
      <c r="S17" s="49">
        <v>4119.74</v>
      </c>
      <c r="T17" s="49"/>
      <c r="U17" s="49">
        <v>0</v>
      </c>
      <c r="V17" s="49"/>
      <c r="W17" s="49">
        <v>0</v>
      </c>
      <c r="X17" s="49"/>
      <c r="Y17" s="49">
        <v>0</v>
      </c>
      <c r="Z17" s="49"/>
      <c r="AA17" s="49">
        <v>0</v>
      </c>
      <c r="AB17" s="49"/>
      <c r="AC17" s="49">
        <v>0</v>
      </c>
      <c r="AD17" s="49"/>
      <c r="AE17" s="49">
        <v>0</v>
      </c>
      <c r="AF17" s="49"/>
      <c r="AG17" s="49">
        <v>0</v>
      </c>
      <c r="AH17" s="49"/>
      <c r="AI17" s="49">
        <f t="shared" si="3"/>
        <v>162784.94999999998</v>
      </c>
      <c r="AJ17" s="8"/>
      <c r="AK17" s="6" t="str">
        <f>'Gen Rev'!A17</f>
        <v>Alger</v>
      </c>
      <c r="AL17" s="6" t="str">
        <f t="shared" si="1"/>
        <v>Alger</v>
      </c>
      <c r="AM17" s="6" t="b">
        <f t="shared" si="2"/>
        <v>1</v>
      </c>
      <c r="AN17" s="15"/>
      <c r="AO17" s="15"/>
      <c r="AP17" s="15"/>
    </row>
    <row r="18" spans="1:42" s="14" customFormat="1" ht="12" customHeight="1" x14ac:dyDescent="0.2">
      <c r="A18" s="6" t="s">
        <v>618</v>
      </c>
      <c r="B18" s="6"/>
      <c r="C18" s="6" t="s">
        <v>327</v>
      </c>
      <c r="D18" s="6"/>
      <c r="E18" s="49">
        <v>61244.56</v>
      </c>
      <c r="F18" s="49"/>
      <c r="G18" s="49">
        <v>0</v>
      </c>
      <c r="H18" s="49"/>
      <c r="I18" s="49">
        <v>47600.06</v>
      </c>
      <c r="J18" s="49"/>
      <c r="K18" s="49">
        <v>0</v>
      </c>
      <c r="L18" s="49"/>
      <c r="M18" s="49">
        <v>71981.570000000007</v>
      </c>
      <c r="N18" s="49"/>
      <c r="O18" s="49">
        <v>895</v>
      </c>
      <c r="P18" s="49"/>
      <c r="Q18" s="49">
        <v>415.06</v>
      </c>
      <c r="R18" s="49"/>
      <c r="S18" s="49">
        <v>17172.810000000001</v>
      </c>
      <c r="T18" s="49"/>
      <c r="U18" s="49">
        <v>0</v>
      </c>
      <c r="V18" s="49"/>
      <c r="W18" s="49">
        <v>0</v>
      </c>
      <c r="X18" s="49"/>
      <c r="Y18" s="49">
        <v>0</v>
      </c>
      <c r="Z18" s="49"/>
      <c r="AA18" s="49">
        <v>0</v>
      </c>
      <c r="AB18" s="49"/>
      <c r="AC18" s="49">
        <v>0</v>
      </c>
      <c r="AD18" s="49"/>
      <c r="AE18" s="49">
        <v>0</v>
      </c>
      <c r="AF18" s="49"/>
      <c r="AG18" s="49">
        <v>0</v>
      </c>
      <c r="AH18" s="49"/>
      <c r="AI18" s="49">
        <f t="shared" si="3"/>
        <v>199309.06</v>
      </c>
      <c r="AJ18" s="8"/>
      <c r="AK18" s="6" t="str">
        <f>'Gen Rev'!A18</f>
        <v>Amanda</v>
      </c>
      <c r="AL18" s="6" t="str">
        <f t="shared" si="1"/>
        <v>Amanda</v>
      </c>
      <c r="AM18" s="6" t="b">
        <f t="shared" si="2"/>
        <v>1</v>
      </c>
    </row>
    <row r="19" spans="1:42" s="14" customFormat="1" ht="12" customHeight="1" x14ac:dyDescent="0.2">
      <c r="A19" s="6" t="s">
        <v>350</v>
      </c>
      <c r="B19" s="6"/>
      <c r="C19" s="6" t="s">
        <v>351</v>
      </c>
      <c r="D19" s="6"/>
      <c r="E19" s="49">
        <v>2395257.58</v>
      </c>
      <c r="F19" s="49"/>
      <c r="G19" s="49">
        <v>2614329.5499999998</v>
      </c>
      <c r="H19" s="49"/>
      <c r="I19" s="49">
        <v>1130849.3</v>
      </c>
      <c r="J19" s="49"/>
      <c r="K19" s="49">
        <v>0</v>
      </c>
      <c r="L19" s="49"/>
      <c r="M19" s="49">
        <v>386816.53</v>
      </c>
      <c r="N19" s="49"/>
      <c r="O19" s="49">
        <v>162408.51999999999</v>
      </c>
      <c r="P19" s="49"/>
      <c r="Q19" s="49">
        <v>14419.54</v>
      </c>
      <c r="R19" s="49"/>
      <c r="S19" s="49">
        <v>63255.75</v>
      </c>
      <c r="T19" s="49"/>
      <c r="U19" s="49">
        <v>0</v>
      </c>
      <c r="V19" s="49"/>
      <c r="W19" s="49">
        <v>0</v>
      </c>
      <c r="X19" s="49"/>
      <c r="Y19" s="49">
        <v>200</v>
      </c>
      <c r="Z19" s="49"/>
      <c r="AA19" s="49">
        <v>499674.62</v>
      </c>
      <c r="AB19" s="49"/>
      <c r="AC19" s="49">
        <v>0</v>
      </c>
      <c r="AD19" s="49"/>
      <c r="AE19" s="49">
        <v>0</v>
      </c>
      <c r="AF19" s="49"/>
      <c r="AG19" s="49">
        <v>0</v>
      </c>
      <c r="AH19" s="49"/>
      <c r="AI19" s="49">
        <f t="shared" si="3"/>
        <v>7267211.3899999997</v>
      </c>
      <c r="AJ19" s="8"/>
      <c r="AK19" s="6" t="str">
        <f>'Gen Rev'!A19</f>
        <v>Amberley</v>
      </c>
      <c r="AL19" s="6" t="str">
        <f t="shared" si="1"/>
        <v>Amberley</v>
      </c>
      <c r="AM19" s="6" t="b">
        <f t="shared" si="2"/>
        <v>1</v>
      </c>
    </row>
    <row r="20" spans="1:42" ht="12" customHeight="1" x14ac:dyDescent="0.2">
      <c r="A20" s="6" t="s">
        <v>35</v>
      </c>
      <c r="C20" s="6" t="s">
        <v>277</v>
      </c>
      <c r="E20" s="49">
        <v>998027.41</v>
      </c>
      <c r="F20" s="49"/>
      <c r="G20" s="49">
        <v>0</v>
      </c>
      <c r="H20" s="49"/>
      <c r="I20" s="49">
        <v>409357.64</v>
      </c>
      <c r="J20" s="49"/>
      <c r="K20" s="49">
        <v>2626.74</v>
      </c>
      <c r="L20" s="49"/>
      <c r="M20" s="49">
        <v>11527.77</v>
      </c>
      <c r="N20" s="49"/>
      <c r="O20" s="49">
        <v>145001.38</v>
      </c>
      <c r="P20" s="49"/>
      <c r="Q20" s="49">
        <v>203.37</v>
      </c>
      <c r="R20" s="49"/>
      <c r="S20" s="49">
        <v>203997.34</v>
      </c>
      <c r="T20" s="49"/>
      <c r="U20" s="49">
        <v>0</v>
      </c>
      <c r="V20" s="49"/>
      <c r="W20" s="49">
        <v>650425</v>
      </c>
      <c r="X20" s="49"/>
      <c r="Y20" s="49">
        <v>0</v>
      </c>
      <c r="Z20" s="49"/>
      <c r="AA20" s="49">
        <v>0</v>
      </c>
      <c r="AB20" s="49"/>
      <c r="AC20" s="49">
        <v>30000</v>
      </c>
      <c r="AD20" s="49"/>
      <c r="AE20" s="49">
        <v>2700</v>
      </c>
      <c r="AF20" s="49"/>
      <c r="AG20" s="49">
        <v>3950</v>
      </c>
      <c r="AH20" s="49"/>
      <c r="AI20" s="49">
        <f t="shared" si="3"/>
        <v>2457816.6500000004</v>
      </c>
      <c r="AJ20" s="8"/>
      <c r="AK20" s="6" t="str">
        <f>'Gen Rev'!A20</f>
        <v>Amelia</v>
      </c>
      <c r="AL20" s="6" t="str">
        <f t="shared" si="1"/>
        <v>Amelia</v>
      </c>
      <c r="AM20" s="6" t="b">
        <f t="shared" si="2"/>
        <v>1</v>
      </c>
    </row>
    <row r="21" spans="1:42" s="14" customFormat="1" ht="12" customHeight="1" x14ac:dyDescent="0.2">
      <c r="A21" s="6" t="s">
        <v>9</v>
      </c>
      <c r="B21" s="6"/>
      <c r="C21" s="6" t="s">
        <v>253</v>
      </c>
      <c r="D21" s="6"/>
      <c r="E21" s="49">
        <v>41501.589999999997</v>
      </c>
      <c r="F21" s="49"/>
      <c r="G21" s="49">
        <v>0</v>
      </c>
      <c r="H21" s="49"/>
      <c r="I21" s="49">
        <v>12906.63</v>
      </c>
      <c r="J21" s="49"/>
      <c r="K21" s="49">
        <v>0</v>
      </c>
      <c r="L21" s="49"/>
      <c r="M21" s="49">
        <v>0</v>
      </c>
      <c r="N21" s="49"/>
      <c r="O21" s="49">
        <v>1795.07</v>
      </c>
      <c r="P21" s="49"/>
      <c r="Q21" s="49">
        <v>49.7</v>
      </c>
      <c r="R21" s="49"/>
      <c r="S21" s="49">
        <v>6211.55</v>
      </c>
      <c r="T21" s="49"/>
      <c r="U21" s="49">
        <v>0</v>
      </c>
      <c r="V21" s="49"/>
      <c r="W21" s="49">
        <v>0</v>
      </c>
      <c r="X21" s="49"/>
      <c r="Y21" s="49">
        <v>0</v>
      </c>
      <c r="Z21" s="49"/>
      <c r="AA21" s="49">
        <v>14000</v>
      </c>
      <c r="AB21" s="49"/>
      <c r="AC21" s="49">
        <v>0</v>
      </c>
      <c r="AD21" s="49"/>
      <c r="AE21" s="49">
        <v>0</v>
      </c>
      <c r="AF21" s="49"/>
      <c r="AG21" s="49">
        <v>0</v>
      </c>
      <c r="AH21" s="49"/>
      <c r="AI21" s="49">
        <f t="shared" si="3"/>
        <v>76464.539999999994</v>
      </c>
      <c r="AJ21" s="8"/>
      <c r="AK21" s="6" t="str">
        <f>'Gen Rev'!A21</f>
        <v>Amesville</v>
      </c>
      <c r="AL21" s="6" t="str">
        <f t="shared" si="1"/>
        <v>Amesville</v>
      </c>
      <c r="AM21" s="6" t="b">
        <f t="shared" si="2"/>
        <v>1</v>
      </c>
      <c r="AN21" s="6"/>
      <c r="AO21" s="6"/>
      <c r="AP21" s="6"/>
    </row>
    <row r="22" spans="1:42" s="14" customFormat="1" ht="12" customHeight="1" x14ac:dyDescent="0.2">
      <c r="A22" s="6" t="s">
        <v>391</v>
      </c>
      <c r="B22" s="6"/>
      <c r="C22" s="6" t="s">
        <v>390</v>
      </c>
      <c r="D22" s="6"/>
      <c r="E22" s="49">
        <f>18804+15115</f>
        <v>33919</v>
      </c>
      <c r="F22" s="49"/>
      <c r="G22" s="49">
        <v>0</v>
      </c>
      <c r="H22" s="49"/>
      <c r="I22" s="49">
        <f>12435+27685</f>
        <v>40120</v>
      </c>
      <c r="J22" s="49"/>
      <c r="K22" s="49">
        <v>0</v>
      </c>
      <c r="L22" s="49"/>
      <c r="M22" s="49">
        <v>0</v>
      </c>
      <c r="N22" s="49"/>
      <c r="O22" s="49">
        <v>1057</v>
      </c>
      <c r="P22" s="49"/>
      <c r="Q22" s="49">
        <v>99</v>
      </c>
      <c r="R22" s="49"/>
      <c r="S22" s="49">
        <v>8790</v>
      </c>
      <c r="T22" s="49"/>
      <c r="U22" s="49">
        <v>0</v>
      </c>
      <c r="V22" s="49"/>
      <c r="W22" s="49">
        <v>20000</v>
      </c>
      <c r="X22" s="49"/>
      <c r="Y22" s="49">
        <v>0</v>
      </c>
      <c r="Z22" s="49"/>
      <c r="AA22" s="49">
        <v>500</v>
      </c>
      <c r="AB22" s="49"/>
      <c r="AC22" s="49">
        <v>0</v>
      </c>
      <c r="AD22" s="49"/>
      <c r="AE22" s="49">
        <v>0</v>
      </c>
      <c r="AF22" s="49"/>
      <c r="AG22" s="49">
        <v>0</v>
      </c>
      <c r="AH22" s="49"/>
      <c r="AI22" s="49">
        <f t="shared" si="3"/>
        <v>104485</v>
      </c>
      <c r="AJ22" s="8"/>
      <c r="AK22" s="6" t="str">
        <f>'Gen Rev'!A22</f>
        <v>Amsterdam</v>
      </c>
      <c r="AL22" s="6" t="str">
        <f t="shared" si="1"/>
        <v>Amsterdam</v>
      </c>
      <c r="AM22" s="6" t="b">
        <f t="shared" si="2"/>
        <v>1</v>
      </c>
      <c r="AN22" s="6"/>
      <c r="AO22" s="6"/>
      <c r="AP22" s="6"/>
    </row>
    <row r="23" spans="1:42" ht="12" customHeight="1" x14ac:dyDescent="0.2">
      <c r="A23" s="6" t="s">
        <v>793</v>
      </c>
      <c r="C23" s="6" t="s">
        <v>624</v>
      </c>
      <c r="E23" s="49">
        <v>177887.92</v>
      </c>
      <c r="F23" s="49"/>
      <c r="G23" s="49">
        <v>509121.91</v>
      </c>
      <c r="H23" s="49"/>
      <c r="I23" s="49">
        <v>131391.98000000001</v>
      </c>
      <c r="J23" s="49"/>
      <c r="K23" s="49">
        <v>0</v>
      </c>
      <c r="L23" s="49"/>
      <c r="M23" s="49">
        <v>2672.49</v>
      </c>
      <c r="N23" s="49"/>
      <c r="O23" s="49">
        <v>18189.66</v>
      </c>
      <c r="P23" s="49"/>
      <c r="Q23" s="49">
        <v>541.1</v>
      </c>
      <c r="R23" s="49"/>
      <c r="S23" s="49">
        <v>5592.6</v>
      </c>
      <c r="T23" s="49"/>
      <c r="U23" s="49">
        <v>0</v>
      </c>
      <c r="V23" s="49"/>
      <c r="W23" s="49">
        <v>0</v>
      </c>
      <c r="X23" s="49"/>
      <c r="Y23" s="49">
        <v>0</v>
      </c>
      <c r="Z23" s="49"/>
      <c r="AA23" s="49">
        <v>692.72</v>
      </c>
      <c r="AB23" s="49"/>
      <c r="AC23" s="49">
        <v>0</v>
      </c>
      <c r="AD23" s="49"/>
      <c r="AE23" s="49">
        <v>0</v>
      </c>
      <c r="AF23" s="49"/>
      <c r="AG23" s="49">
        <v>0</v>
      </c>
      <c r="AH23" s="49"/>
      <c r="AI23" s="49">
        <f t="shared" si="3"/>
        <v>846090.37999999989</v>
      </c>
      <c r="AJ23" s="8"/>
      <c r="AK23" s="6" t="str">
        <f>'Gen Rev'!A23</f>
        <v>Andover</v>
      </c>
      <c r="AL23" s="6" t="str">
        <f t="shared" si="1"/>
        <v>Andover</v>
      </c>
      <c r="AM23" s="6" t="b">
        <f t="shared" si="2"/>
        <v>1</v>
      </c>
      <c r="AN23" s="14"/>
      <c r="AO23" s="14"/>
      <c r="AP23" s="14"/>
    </row>
    <row r="24" spans="1:42" s="14" customFormat="1" ht="12" customHeight="1" x14ac:dyDescent="0.2">
      <c r="A24" s="6" t="s">
        <v>206</v>
      </c>
      <c r="B24" s="6"/>
      <c r="C24" s="6" t="s">
        <v>498</v>
      </c>
      <c r="D24" s="6"/>
      <c r="E24" s="49">
        <v>62207.26</v>
      </c>
      <c r="F24" s="49"/>
      <c r="G24" s="49">
        <v>558376.05000000005</v>
      </c>
      <c r="H24" s="49"/>
      <c r="I24" s="49">
        <v>101145.27</v>
      </c>
      <c r="J24" s="49"/>
      <c r="K24" s="49">
        <v>41810.31</v>
      </c>
      <c r="L24" s="49"/>
      <c r="M24" s="49">
        <v>95337.04</v>
      </c>
      <c r="N24" s="49"/>
      <c r="O24" s="49">
        <v>46399.41</v>
      </c>
      <c r="P24" s="49"/>
      <c r="Q24" s="49">
        <v>129.93</v>
      </c>
      <c r="R24" s="49"/>
      <c r="S24" s="49">
        <v>29888.080000000002</v>
      </c>
      <c r="T24" s="49"/>
      <c r="U24" s="49">
        <v>0</v>
      </c>
      <c r="V24" s="49"/>
      <c r="W24" s="49">
        <v>0</v>
      </c>
      <c r="X24" s="49"/>
      <c r="Y24" s="49">
        <v>0</v>
      </c>
      <c r="Z24" s="49"/>
      <c r="AA24" s="49">
        <v>389021.4</v>
      </c>
      <c r="AB24" s="49"/>
      <c r="AC24" s="49">
        <v>25000</v>
      </c>
      <c r="AD24" s="49"/>
      <c r="AE24" s="49">
        <v>0</v>
      </c>
      <c r="AF24" s="49"/>
      <c r="AG24" s="49">
        <v>15723.1</v>
      </c>
      <c r="AH24" s="49"/>
      <c r="AI24" s="49">
        <f t="shared" si="3"/>
        <v>1365037.8500000003</v>
      </c>
      <c r="AJ24" s="8"/>
      <c r="AK24" s="6" t="str">
        <f>'Gen Rev'!A24</f>
        <v>Anna</v>
      </c>
      <c r="AL24" s="6" t="str">
        <f t="shared" si="1"/>
        <v>Anna</v>
      </c>
      <c r="AM24" s="6" t="b">
        <f t="shared" si="2"/>
        <v>1</v>
      </c>
      <c r="AN24" s="6"/>
      <c r="AO24" s="6"/>
      <c r="AP24" s="6"/>
    </row>
    <row r="25" spans="1:42" s="14" customFormat="1" ht="12" customHeight="1" x14ac:dyDescent="0.2">
      <c r="A25" s="6" t="s">
        <v>305</v>
      </c>
      <c r="B25" s="6"/>
      <c r="C25" s="6" t="s">
        <v>306</v>
      </c>
      <c r="D25" s="6"/>
      <c r="E25" s="49">
        <v>66866</v>
      </c>
      <c r="F25" s="49"/>
      <c r="G25" s="49">
        <v>124457</v>
      </c>
      <c r="H25" s="49"/>
      <c r="I25" s="49">
        <v>103270</v>
      </c>
      <c r="J25" s="49"/>
      <c r="K25" s="49">
        <v>27177</v>
      </c>
      <c r="L25" s="49"/>
      <c r="M25" s="49">
        <v>63398</v>
      </c>
      <c r="N25" s="49"/>
      <c r="O25" s="49">
        <v>338</v>
      </c>
      <c r="P25" s="49"/>
      <c r="Q25" s="49">
        <v>315</v>
      </c>
      <c r="R25" s="49"/>
      <c r="S25" s="49">
        <v>21524</v>
      </c>
      <c r="T25" s="49"/>
      <c r="U25" s="49">
        <v>0</v>
      </c>
      <c r="V25" s="49"/>
      <c r="W25" s="49">
        <v>0</v>
      </c>
      <c r="X25" s="49"/>
      <c r="Y25" s="49">
        <v>0</v>
      </c>
      <c r="Z25" s="49"/>
      <c r="AA25" s="49">
        <v>69048</v>
      </c>
      <c r="AB25" s="49"/>
      <c r="AC25" s="49">
        <v>0</v>
      </c>
      <c r="AD25" s="49"/>
      <c r="AE25" s="49">
        <v>343487</v>
      </c>
      <c r="AF25" s="49"/>
      <c r="AG25" s="49">
        <v>0</v>
      </c>
      <c r="AH25" s="49"/>
      <c r="AI25" s="49">
        <f t="shared" si="3"/>
        <v>819880</v>
      </c>
      <c r="AJ25" s="8"/>
      <c r="AK25" s="6" t="str">
        <f>'Gen Rev'!A25</f>
        <v>Ansonia</v>
      </c>
      <c r="AL25" s="6" t="str">
        <f t="shared" si="1"/>
        <v>Ansonia</v>
      </c>
      <c r="AM25" s="6" t="b">
        <f t="shared" si="2"/>
        <v>1</v>
      </c>
      <c r="AN25" s="6"/>
      <c r="AO25" s="6"/>
      <c r="AP25" s="6"/>
    </row>
    <row r="26" spans="1:42" ht="12" customHeight="1" x14ac:dyDescent="0.2">
      <c r="A26" s="6" t="s">
        <v>440</v>
      </c>
      <c r="C26" s="6" t="s">
        <v>441</v>
      </c>
      <c r="E26" s="49">
        <v>880</v>
      </c>
      <c r="F26" s="49"/>
      <c r="G26" s="49">
        <v>0</v>
      </c>
      <c r="H26" s="49"/>
      <c r="I26" s="49">
        <v>8332</v>
      </c>
      <c r="J26" s="49"/>
      <c r="K26" s="49">
        <v>0</v>
      </c>
      <c r="L26" s="49"/>
      <c r="M26" s="49">
        <v>0</v>
      </c>
      <c r="N26" s="49"/>
      <c r="O26" s="49">
        <v>0</v>
      </c>
      <c r="P26" s="49"/>
      <c r="Q26" s="49">
        <v>140</v>
      </c>
      <c r="R26" s="49"/>
      <c r="S26" s="49">
        <v>17358</v>
      </c>
      <c r="T26" s="49"/>
      <c r="U26" s="49">
        <v>0</v>
      </c>
      <c r="V26" s="49"/>
      <c r="W26" s="49">
        <v>0</v>
      </c>
      <c r="X26" s="49"/>
      <c r="Y26" s="49">
        <v>0</v>
      </c>
      <c r="Z26" s="49"/>
      <c r="AA26" s="49">
        <v>0</v>
      </c>
      <c r="AB26" s="49"/>
      <c r="AC26" s="49">
        <v>0</v>
      </c>
      <c r="AD26" s="49"/>
      <c r="AE26" s="49">
        <v>0</v>
      </c>
      <c r="AF26" s="49"/>
      <c r="AG26" s="49">
        <v>0</v>
      </c>
      <c r="AH26" s="49"/>
      <c r="AI26" s="49">
        <f t="shared" si="3"/>
        <v>26710</v>
      </c>
      <c r="AJ26" s="8"/>
      <c r="AK26" s="6" t="str">
        <f>'Gen Rev'!A26</f>
        <v>Antioch</v>
      </c>
      <c r="AL26" s="6" t="str">
        <f t="shared" si="1"/>
        <v>Antioch</v>
      </c>
      <c r="AM26" s="6" t="b">
        <f t="shared" si="2"/>
        <v>1</v>
      </c>
      <c r="AN26" s="14"/>
      <c r="AO26" s="14"/>
      <c r="AP26" s="14"/>
    </row>
    <row r="27" spans="1:42" ht="12" customHeight="1" x14ac:dyDescent="0.2">
      <c r="A27" s="6" t="s">
        <v>459</v>
      </c>
      <c r="C27" s="6" t="s">
        <v>460</v>
      </c>
      <c r="E27" s="49">
        <v>182697</v>
      </c>
      <c r="F27" s="49"/>
      <c r="G27" s="49">
        <v>251402</v>
      </c>
      <c r="H27" s="49"/>
      <c r="I27" s="49">
        <v>395481</v>
      </c>
      <c r="J27" s="49"/>
      <c r="K27" s="49">
        <v>15682</v>
      </c>
      <c r="L27" s="49"/>
      <c r="M27" s="49">
        <v>92982</v>
      </c>
      <c r="N27" s="49"/>
      <c r="O27" s="49">
        <v>11845</v>
      </c>
      <c r="P27" s="49"/>
      <c r="Q27" s="49">
        <v>3492</v>
      </c>
      <c r="R27" s="49"/>
      <c r="S27" s="49">
        <v>57372</v>
      </c>
      <c r="T27" s="49"/>
      <c r="U27" s="49">
        <v>0</v>
      </c>
      <c r="V27" s="49"/>
      <c r="W27" s="49">
        <v>38631</v>
      </c>
      <c r="X27" s="49"/>
      <c r="Y27" s="49">
        <v>0</v>
      </c>
      <c r="Z27" s="49"/>
      <c r="AA27" s="49">
        <v>150608</v>
      </c>
      <c r="AB27" s="49"/>
      <c r="AC27" s="49">
        <v>38246</v>
      </c>
      <c r="AD27" s="49"/>
      <c r="AE27" s="49">
        <v>0</v>
      </c>
      <c r="AF27" s="49"/>
      <c r="AG27" s="49">
        <v>0</v>
      </c>
      <c r="AH27" s="49"/>
      <c r="AI27" s="49">
        <f t="shared" si="3"/>
        <v>1238438</v>
      </c>
      <c r="AJ27" s="8"/>
      <c r="AK27" s="6" t="str">
        <f>'Gen Rev'!A27</f>
        <v>Antwerp</v>
      </c>
      <c r="AL27" s="6" t="str">
        <f t="shared" si="1"/>
        <v>Antwerp</v>
      </c>
      <c r="AM27" s="6" t="b">
        <f t="shared" si="2"/>
        <v>1</v>
      </c>
    </row>
    <row r="28" spans="1:42" s="14" customFormat="1" ht="12" customHeight="1" x14ac:dyDescent="0.2">
      <c r="A28" s="6" t="s">
        <v>546</v>
      </c>
      <c r="B28" s="6"/>
      <c r="C28" s="6" t="s">
        <v>547</v>
      </c>
      <c r="D28" s="6"/>
      <c r="E28" s="49">
        <v>46051</v>
      </c>
      <c r="F28" s="49"/>
      <c r="G28" s="49">
        <v>207443</v>
      </c>
      <c r="H28" s="49"/>
      <c r="I28" s="49">
        <v>115749</v>
      </c>
      <c r="J28" s="49"/>
      <c r="K28" s="49">
        <v>0</v>
      </c>
      <c r="L28" s="49"/>
      <c r="M28" s="49">
        <v>5980</v>
      </c>
      <c r="N28" s="49"/>
      <c r="O28" s="49">
        <v>6208</v>
      </c>
      <c r="P28" s="49"/>
      <c r="Q28" s="49">
        <v>6598</v>
      </c>
      <c r="R28" s="49"/>
      <c r="S28" s="49">
        <v>27365</v>
      </c>
      <c r="T28" s="49"/>
      <c r="U28" s="49">
        <v>0</v>
      </c>
      <c r="V28" s="49"/>
      <c r="W28" s="49">
        <v>0</v>
      </c>
      <c r="X28" s="49"/>
      <c r="Y28" s="49">
        <v>0</v>
      </c>
      <c r="Z28" s="49"/>
      <c r="AA28" s="49">
        <v>86872</v>
      </c>
      <c r="AB28" s="49"/>
      <c r="AC28" s="49">
        <v>30000</v>
      </c>
      <c r="AD28" s="49"/>
      <c r="AE28" s="49">
        <v>0</v>
      </c>
      <c r="AF28" s="49"/>
      <c r="AG28" s="49">
        <v>0</v>
      </c>
      <c r="AH28" s="49"/>
      <c r="AI28" s="49">
        <f t="shared" si="3"/>
        <v>532266</v>
      </c>
      <c r="AJ28" s="8"/>
      <c r="AK28" s="6" t="str">
        <f>'Gen Rev'!A28</f>
        <v>Apple Creek</v>
      </c>
      <c r="AL28" s="6" t="str">
        <f t="shared" si="1"/>
        <v>Apple Creek</v>
      </c>
      <c r="AM28" s="6" t="b">
        <f t="shared" si="2"/>
        <v>1</v>
      </c>
      <c r="AN28" s="13"/>
      <c r="AO28" s="13"/>
      <c r="AP28" s="13"/>
    </row>
    <row r="29" spans="1:42" s="14" customFormat="1" ht="12" customHeight="1" x14ac:dyDescent="0.2">
      <c r="A29" s="6" t="s">
        <v>653</v>
      </c>
      <c r="B29" s="6"/>
      <c r="C29" s="6" t="s">
        <v>342</v>
      </c>
      <c r="D29" s="6"/>
      <c r="E29" s="49">
        <v>19263.86</v>
      </c>
      <c r="F29" s="49"/>
      <c r="G29" s="49">
        <v>0</v>
      </c>
      <c r="H29" s="49"/>
      <c r="I29" s="49">
        <v>36985.49</v>
      </c>
      <c r="J29" s="49"/>
      <c r="K29" s="49">
        <v>5058.5</v>
      </c>
      <c r="L29" s="49"/>
      <c r="M29" s="49">
        <v>0</v>
      </c>
      <c r="N29" s="49"/>
      <c r="O29" s="49">
        <v>1954.42</v>
      </c>
      <c r="P29" s="49"/>
      <c r="Q29" s="49">
        <v>0</v>
      </c>
      <c r="R29" s="49"/>
      <c r="S29" s="49">
        <v>348.32</v>
      </c>
      <c r="T29" s="49"/>
      <c r="U29" s="49">
        <v>0</v>
      </c>
      <c r="V29" s="49"/>
      <c r="W29" s="49">
        <v>0</v>
      </c>
      <c r="X29" s="49"/>
      <c r="Y29" s="49">
        <v>0</v>
      </c>
      <c r="Z29" s="49"/>
      <c r="AA29" s="49">
        <v>0</v>
      </c>
      <c r="AB29" s="49"/>
      <c r="AC29" s="49">
        <v>0</v>
      </c>
      <c r="AD29" s="49"/>
      <c r="AE29" s="49">
        <v>0</v>
      </c>
      <c r="AF29" s="49"/>
      <c r="AG29" s="49">
        <v>0</v>
      </c>
      <c r="AH29" s="49"/>
      <c r="AI29" s="49">
        <f t="shared" si="3"/>
        <v>63610.59</v>
      </c>
      <c r="AJ29" s="8"/>
      <c r="AK29" s="6" t="str">
        <f>'Gen Rev'!A29</f>
        <v>Aquilla</v>
      </c>
      <c r="AL29" s="6" t="str">
        <f t="shared" si="1"/>
        <v>Aquilla</v>
      </c>
      <c r="AM29" s="6" t="b">
        <f t="shared" si="2"/>
        <v>1</v>
      </c>
      <c r="AN29" s="6"/>
      <c r="AO29" s="6"/>
      <c r="AP29" s="6"/>
    </row>
    <row r="30" spans="1:42" s="14" customFormat="1" ht="12" customHeight="1" x14ac:dyDescent="0.2">
      <c r="A30" s="6" t="s">
        <v>359</v>
      </c>
      <c r="B30" s="6"/>
      <c r="C30" s="6" t="s">
        <v>360</v>
      </c>
      <c r="D30" s="6"/>
      <c r="E30" s="49">
        <v>53870.879999999997</v>
      </c>
      <c r="F30" s="49"/>
      <c r="G30" s="49">
        <v>0</v>
      </c>
      <c r="H30" s="49"/>
      <c r="I30" s="49">
        <v>50476.959999999999</v>
      </c>
      <c r="J30" s="49"/>
      <c r="K30" s="49">
        <v>241.67</v>
      </c>
      <c r="L30" s="49"/>
      <c r="M30" s="49">
        <v>0</v>
      </c>
      <c r="N30" s="49"/>
      <c r="O30" s="49">
        <v>135</v>
      </c>
      <c r="P30" s="49"/>
      <c r="Q30" s="49">
        <v>1201.8699999999999</v>
      </c>
      <c r="R30" s="49"/>
      <c r="S30" s="49">
        <v>3818.31</v>
      </c>
      <c r="T30" s="49"/>
      <c r="U30" s="49">
        <v>0</v>
      </c>
      <c r="V30" s="49"/>
      <c r="W30" s="49">
        <v>0</v>
      </c>
      <c r="X30" s="49"/>
      <c r="Y30" s="49">
        <v>0</v>
      </c>
      <c r="Z30" s="49"/>
      <c r="AA30" s="49">
        <v>0</v>
      </c>
      <c r="AB30" s="49"/>
      <c r="AC30" s="49">
        <v>0</v>
      </c>
      <c r="AD30" s="49"/>
      <c r="AE30" s="49">
        <v>0</v>
      </c>
      <c r="AF30" s="49"/>
      <c r="AG30" s="49">
        <v>0</v>
      </c>
      <c r="AH30" s="49"/>
      <c r="AI30" s="49">
        <f t="shared" si="3"/>
        <v>109744.68999999999</v>
      </c>
      <c r="AJ30" s="8"/>
      <c r="AK30" s="6" t="str">
        <f>'Gen Rev'!A30</f>
        <v>Arcadia</v>
      </c>
      <c r="AL30" s="6" t="str">
        <f t="shared" si="1"/>
        <v>Arcadia</v>
      </c>
      <c r="AM30" s="6" t="b">
        <f t="shared" si="2"/>
        <v>1</v>
      </c>
    </row>
    <row r="31" spans="1:42" s="14" customFormat="1" ht="12" customHeight="1" x14ac:dyDescent="0.2">
      <c r="A31" s="6" t="s">
        <v>307</v>
      </c>
      <c r="B31" s="6"/>
      <c r="C31" s="6" t="s">
        <v>306</v>
      </c>
      <c r="D31" s="6"/>
      <c r="E31" s="49">
        <v>112109</v>
      </c>
      <c r="F31" s="49"/>
      <c r="G31" s="49">
        <v>467165</v>
      </c>
      <c r="H31" s="49"/>
      <c r="I31" s="49">
        <v>336540</v>
      </c>
      <c r="J31" s="49"/>
      <c r="K31" s="49">
        <v>0</v>
      </c>
      <c r="L31" s="49"/>
      <c r="M31" s="49">
        <v>84441</v>
      </c>
      <c r="N31" s="49"/>
      <c r="O31" s="49">
        <v>3570</v>
      </c>
      <c r="P31" s="49"/>
      <c r="Q31" s="49">
        <v>13698</v>
      </c>
      <c r="R31" s="49"/>
      <c r="S31" s="49">
        <v>21796</v>
      </c>
      <c r="T31" s="49"/>
      <c r="U31" s="49">
        <v>70000</v>
      </c>
      <c r="V31" s="49"/>
      <c r="W31" s="49">
        <v>0</v>
      </c>
      <c r="X31" s="49"/>
      <c r="Y31" s="49">
        <v>7853</v>
      </c>
      <c r="Z31" s="49"/>
      <c r="AA31" s="49">
        <v>257564</v>
      </c>
      <c r="AB31" s="49"/>
      <c r="AC31" s="49">
        <v>0</v>
      </c>
      <c r="AD31" s="49"/>
      <c r="AE31" s="49">
        <v>0</v>
      </c>
      <c r="AF31" s="49"/>
      <c r="AG31" s="49">
        <v>0</v>
      </c>
      <c r="AH31" s="49"/>
      <c r="AI31" s="49">
        <f t="shared" si="3"/>
        <v>1374736</v>
      </c>
      <c r="AJ31" s="8"/>
      <c r="AK31" s="6" t="str">
        <f>'Gen Rev'!A31</f>
        <v>Arcanum</v>
      </c>
      <c r="AL31" s="6" t="str">
        <f t="shared" si="1"/>
        <v>Arcanum</v>
      </c>
      <c r="AM31" s="6" t="b">
        <f t="shared" si="2"/>
        <v>1</v>
      </c>
      <c r="AN31" s="6"/>
      <c r="AO31" s="6"/>
      <c r="AP31" s="6"/>
    </row>
    <row r="32" spans="1:42" s="14" customFormat="1" ht="12" customHeight="1" x14ac:dyDescent="0.2">
      <c r="A32" s="6" t="s">
        <v>331</v>
      </c>
      <c r="B32" s="6"/>
      <c r="C32" s="6" t="s">
        <v>332</v>
      </c>
      <c r="D32" s="6"/>
      <c r="E32" s="49">
        <v>541130</v>
      </c>
      <c r="F32" s="49"/>
      <c r="G32" s="49">
        <v>3740774</v>
      </c>
      <c r="H32" s="49"/>
      <c r="I32" s="49">
        <v>853047</v>
      </c>
      <c r="J32" s="49"/>
      <c r="K32" s="49">
        <v>294582</v>
      </c>
      <c r="L32" s="49"/>
      <c r="M32" s="49">
        <v>731176</v>
      </c>
      <c r="N32" s="49"/>
      <c r="O32" s="49">
        <v>47738</v>
      </c>
      <c r="P32" s="49"/>
      <c r="Q32" s="49">
        <v>7700</v>
      </c>
      <c r="R32" s="49"/>
      <c r="S32" s="49">
        <v>146655</v>
      </c>
      <c r="T32" s="49"/>
      <c r="U32" s="49">
        <v>0</v>
      </c>
      <c r="V32" s="49"/>
      <c r="W32" s="49">
        <v>0</v>
      </c>
      <c r="X32" s="49"/>
      <c r="Y32" s="49">
        <v>0</v>
      </c>
      <c r="Z32" s="49"/>
      <c r="AA32" s="49">
        <v>2975000</v>
      </c>
      <c r="AB32" s="49"/>
      <c r="AC32" s="49">
        <v>50</v>
      </c>
      <c r="AD32" s="49"/>
      <c r="AE32" s="49">
        <v>380915</v>
      </c>
      <c r="AF32" s="49"/>
      <c r="AG32" s="49">
        <v>0</v>
      </c>
      <c r="AH32" s="49"/>
      <c r="AI32" s="49">
        <f t="shared" si="3"/>
        <v>9718767</v>
      </c>
      <c r="AJ32" s="8"/>
      <c r="AK32" s="6" t="str">
        <f>'Gen Rev'!A32</f>
        <v>Archbold</v>
      </c>
      <c r="AL32" s="6" t="str">
        <f t="shared" si="1"/>
        <v>Archbold</v>
      </c>
      <c r="AM32" s="6" t="b">
        <f t="shared" si="2"/>
        <v>1</v>
      </c>
    </row>
    <row r="33" spans="1:42" s="12" customFormat="1" ht="12" customHeight="1" x14ac:dyDescent="0.2">
      <c r="A33" s="6" t="s">
        <v>93</v>
      </c>
      <c r="B33" s="6"/>
      <c r="C33" s="6" t="s">
        <v>360</v>
      </c>
      <c r="D33" s="6"/>
      <c r="E33" s="49">
        <v>102979.97</v>
      </c>
      <c r="F33" s="49"/>
      <c r="G33" s="49">
        <v>198381.96</v>
      </c>
      <c r="H33" s="49"/>
      <c r="I33" s="49">
        <v>160706.85999999999</v>
      </c>
      <c r="J33" s="49"/>
      <c r="K33" s="49">
        <v>64150.11</v>
      </c>
      <c r="L33" s="49"/>
      <c r="M33" s="49">
        <v>39687.67</v>
      </c>
      <c r="N33" s="49"/>
      <c r="O33" s="49">
        <v>974.1</v>
      </c>
      <c r="P33" s="49"/>
      <c r="Q33" s="49">
        <v>11967.14</v>
      </c>
      <c r="R33" s="49"/>
      <c r="S33" s="49">
        <v>10216.36</v>
      </c>
      <c r="T33" s="49"/>
      <c r="U33" s="49">
        <v>0</v>
      </c>
      <c r="V33" s="49"/>
      <c r="W33" s="49">
        <v>0</v>
      </c>
      <c r="X33" s="49"/>
      <c r="Y33" s="49">
        <v>0</v>
      </c>
      <c r="Z33" s="49"/>
      <c r="AA33" s="49">
        <v>23000</v>
      </c>
      <c r="AB33" s="49"/>
      <c r="AC33" s="49">
        <v>8056.8</v>
      </c>
      <c r="AD33" s="49"/>
      <c r="AE33" s="49">
        <v>8669.09</v>
      </c>
      <c r="AF33" s="49"/>
      <c r="AG33" s="49">
        <v>0</v>
      </c>
      <c r="AH33" s="49"/>
      <c r="AI33" s="49">
        <f t="shared" si="3"/>
        <v>628790.06000000006</v>
      </c>
      <c r="AJ33" s="8"/>
      <c r="AK33" s="6" t="str">
        <f>'Gen Rev'!A33</f>
        <v>Arlington</v>
      </c>
      <c r="AL33" s="6" t="str">
        <f t="shared" si="1"/>
        <v>Arlington</v>
      </c>
      <c r="AM33" s="6" t="b">
        <f t="shared" si="2"/>
        <v>1</v>
      </c>
      <c r="AN33" s="14"/>
      <c r="AO33" s="14"/>
      <c r="AP33" s="14"/>
    </row>
    <row r="34" spans="1:42" s="14" customFormat="1" ht="12" customHeight="1" x14ac:dyDescent="0.2">
      <c r="A34" s="6" t="s">
        <v>352</v>
      </c>
      <c r="B34" s="6"/>
      <c r="C34" s="6" t="s">
        <v>351</v>
      </c>
      <c r="D34" s="6"/>
      <c r="E34" s="49">
        <v>596911</v>
      </c>
      <c r="F34" s="49"/>
      <c r="G34" s="49">
        <v>0</v>
      </c>
      <c r="H34" s="49"/>
      <c r="I34" s="49">
        <v>179087</v>
      </c>
      <c r="J34" s="49"/>
      <c r="K34" s="49">
        <v>0</v>
      </c>
      <c r="L34" s="49"/>
      <c r="M34" s="49">
        <v>99078</v>
      </c>
      <c r="N34" s="49"/>
      <c r="O34" s="49">
        <v>298953</v>
      </c>
      <c r="P34" s="49"/>
      <c r="Q34" s="49">
        <v>0</v>
      </c>
      <c r="R34" s="49"/>
      <c r="S34" s="49">
        <v>13200</v>
      </c>
      <c r="T34" s="49"/>
      <c r="U34" s="49">
        <v>0</v>
      </c>
      <c r="V34" s="49"/>
      <c r="W34" s="49">
        <v>0</v>
      </c>
      <c r="X34" s="49"/>
      <c r="Y34" s="49">
        <v>0</v>
      </c>
      <c r="Z34" s="49"/>
      <c r="AA34" s="49">
        <v>0</v>
      </c>
      <c r="AB34" s="49"/>
      <c r="AC34" s="49">
        <v>0</v>
      </c>
      <c r="AD34" s="49"/>
      <c r="AE34" s="49">
        <v>0</v>
      </c>
      <c r="AF34" s="49"/>
      <c r="AG34" s="49">
        <v>0</v>
      </c>
      <c r="AH34" s="49"/>
      <c r="AI34" s="49">
        <f t="shared" si="3"/>
        <v>1187229</v>
      </c>
      <c r="AJ34" s="8"/>
      <c r="AK34" s="6" t="str">
        <f>'Gen Rev'!A34</f>
        <v>Arlington Heights</v>
      </c>
      <c r="AL34" s="6" t="str">
        <f t="shared" si="1"/>
        <v>Arlington Heights</v>
      </c>
      <c r="AM34" s="6" t="b">
        <f t="shared" si="2"/>
        <v>1</v>
      </c>
      <c r="AN34" s="12"/>
      <c r="AO34" s="12"/>
      <c r="AP34" s="12"/>
    </row>
    <row r="35" spans="1:42" s="14" customFormat="1" ht="12" customHeight="1" x14ac:dyDescent="0.2">
      <c r="A35" s="6" t="s">
        <v>792</v>
      </c>
      <c r="B35" s="6"/>
      <c r="C35" s="6" t="s">
        <v>320</v>
      </c>
      <c r="D35" s="6"/>
      <c r="E35" s="49">
        <v>273747</v>
      </c>
      <c r="F35" s="49"/>
      <c r="G35" s="49">
        <v>0</v>
      </c>
      <c r="H35" s="49"/>
      <c r="I35" s="49">
        <v>74611.89</v>
      </c>
      <c r="J35" s="49"/>
      <c r="K35" s="49">
        <v>0</v>
      </c>
      <c r="L35" s="49"/>
      <c r="M35" s="49">
        <v>84854.66</v>
      </c>
      <c r="N35" s="49"/>
      <c r="O35" s="49">
        <v>10065.44</v>
      </c>
      <c r="P35" s="49"/>
      <c r="Q35" s="49">
        <v>143.97999999999999</v>
      </c>
      <c r="R35" s="49"/>
      <c r="S35" s="49">
        <v>5617.79</v>
      </c>
      <c r="T35" s="49"/>
      <c r="U35" s="49">
        <v>0</v>
      </c>
      <c r="V35" s="49"/>
      <c r="W35" s="49">
        <v>0</v>
      </c>
      <c r="X35" s="49"/>
      <c r="Y35" s="49">
        <v>0</v>
      </c>
      <c r="Z35" s="49"/>
      <c r="AA35" s="49">
        <v>65000</v>
      </c>
      <c r="AB35" s="49"/>
      <c r="AC35" s="49">
        <v>0</v>
      </c>
      <c r="AD35" s="49"/>
      <c r="AE35" s="49">
        <v>0</v>
      </c>
      <c r="AF35" s="49"/>
      <c r="AG35" s="49">
        <v>0</v>
      </c>
      <c r="AH35" s="49"/>
      <c r="AI35" s="49">
        <f t="shared" si="3"/>
        <v>514040.76</v>
      </c>
      <c r="AJ35" s="8"/>
      <c r="AK35" s="6" t="str">
        <f>'Gen Rev'!A35</f>
        <v>Ashley</v>
      </c>
      <c r="AL35" s="6" t="str">
        <f t="shared" si="1"/>
        <v>Ashley</v>
      </c>
      <c r="AM35" s="6" t="b">
        <f t="shared" si="2"/>
        <v>1</v>
      </c>
      <c r="AN35" s="12"/>
      <c r="AO35" s="12"/>
      <c r="AP35" s="12"/>
    </row>
    <row r="36" spans="1:42" s="14" customFormat="1" ht="12" customHeight="1" x14ac:dyDescent="0.2">
      <c r="A36" s="6" t="s">
        <v>719</v>
      </c>
      <c r="B36" s="6"/>
      <c r="C36" s="6" t="s">
        <v>467</v>
      </c>
      <c r="D36" s="6"/>
      <c r="E36" s="49">
        <v>157139.82</v>
      </c>
      <c r="F36" s="49"/>
      <c r="G36" s="49">
        <v>1026542.48</v>
      </c>
      <c r="H36" s="49"/>
      <c r="I36" s="49">
        <v>299918.90999999997</v>
      </c>
      <c r="J36" s="49"/>
      <c r="K36" s="49">
        <v>52652.23</v>
      </c>
      <c r="L36" s="49"/>
      <c r="M36" s="49">
        <v>328629.13</v>
      </c>
      <c r="N36" s="49"/>
      <c r="O36" s="49">
        <v>76588.570000000007</v>
      </c>
      <c r="P36" s="49"/>
      <c r="Q36" s="49">
        <v>2650.76</v>
      </c>
      <c r="R36" s="49"/>
      <c r="S36" s="49">
        <v>12516.04</v>
      </c>
      <c r="T36" s="49"/>
      <c r="U36" s="49">
        <v>0</v>
      </c>
      <c r="V36" s="49"/>
      <c r="W36" s="49">
        <v>0</v>
      </c>
      <c r="X36" s="49"/>
      <c r="Y36" s="49">
        <v>0</v>
      </c>
      <c r="Z36" s="49"/>
      <c r="AA36" s="49">
        <v>0</v>
      </c>
      <c r="AB36" s="49"/>
      <c r="AC36" s="49">
        <v>0</v>
      </c>
      <c r="AD36" s="49"/>
      <c r="AE36" s="49">
        <v>0</v>
      </c>
      <c r="AF36" s="49"/>
      <c r="AG36" s="49">
        <v>0</v>
      </c>
      <c r="AH36" s="49"/>
      <c r="AI36" s="49">
        <f t="shared" si="3"/>
        <v>1956637.94</v>
      </c>
      <c r="AJ36" s="8"/>
      <c r="AK36" s="6" t="str">
        <f>'Gen Rev'!A36</f>
        <v>Ashville</v>
      </c>
      <c r="AL36" s="6" t="str">
        <f t="shared" si="1"/>
        <v>Ashville</v>
      </c>
      <c r="AM36" s="6" t="b">
        <f t="shared" si="2"/>
        <v>1</v>
      </c>
      <c r="AN36" s="12"/>
      <c r="AO36" s="12"/>
      <c r="AP36" s="12"/>
    </row>
    <row r="37" spans="1:42" s="14" customFormat="1" ht="12" customHeight="1" x14ac:dyDescent="0.2">
      <c r="A37" s="6" t="s">
        <v>760</v>
      </c>
      <c r="B37" s="6"/>
      <c r="C37" s="6" t="s">
        <v>406</v>
      </c>
      <c r="D37" s="6"/>
      <c r="E37" s="49">
        <v>22147</v>
      </c>
      <c r="F37" s="49"/>
      <c r="G37" s="49">
        <v>0</v>
      </c>
      <c r="H37" s="49"/>
      <c r="I37" s="49">
        <v>8299</v>
      </c>
      <c r="J37" s="49"/>
      <c r="K37" s="49">
        <v>0</v>
      </c>
      <c r="L37" s="49"/>
      <c r="M37" s="49">
        <v>0</v>
      </c>
      <c r="N37" s="49"/>
      <c r="O37" s="49">
        <v>3920</v>
      </c>
      <c r="P37" s="49"/>
      <c r="Q37" s="49">
        <v>0</v>
      </c>
      <c r="R37" s="49"/>
      <c r="S37" s="49">
        <v>428</v>
      </c>
      <c r="T37" s="49"/>
      <c r="U37" s="49">
        <v>0</v>
      </c>
      <c r="V37" s="49"/>
      <c r="W37" s="49">
        <v>0</v>
      </c>
      <c r="X37" s="49"/>
      <c r="Y37" s="49">
        <v>0</v>
      </c>
      <c r="Z37" s="49"/>
      <c r="AA37" s="49">
        <v>0</v>
      </c>
      <c r="AB37" s="49"/>
      <c r="AC37" s="49">
        <v>0</v>
      </c>
      <c r="AD37" s="49"/>
      <c r="AE37" s="49">
        <v>0</v>
      </c>
      <c r="AF37" s="49"/>
      <c r="AG37" s="49">
        <v>0</v>
      </c>
      <c r="AH37" s="49"/>
      <c r="AI37" s="49">
        <f t="shared" si="3"/>
        <v>34794</v>
      </c>
      <c r="AJ37" s="8"/>
      <c r="AK37" s="6" t="str">
        <f>'Gen Rev'!A37</f>
        <v>Athalia</v>
      </c>
      <c r="AL37" s="6" t="str">
        <f t="shared" si="1"/>
        <v>Athalia</v>
      </c>
      <c r="AM37" s="6" t="b">
        <f t="shared" si="2"/>
        <v>1</v>
      </c>
      <c r="AN37" s="12"/>
      <c r="AO37" s="12"/>
      <c r="AP37" s="12"/>
    </row>
    <row r="38" spans="1:42" s="14" customFormat="1" ht="12" customHeight="1" x14ac:dyDescent="0.2">
      <c r="A38" s="6" t="s">
        <v>203</v>
      </c>
      <c r="B38" s="6"/>
      <c r="C38" s="6" t="s">
        <v>494</v>
      </c>
      <c r="D38" s="6"/>
      <c r="E38" s="49">
        <v>133633.89000000001</v>
      </c>
      <c r="F38" s="49"/>
      <c r="G38" s="49">
        <v>0</v>
      </c>
      <c r="H38" s="49"/>
      <c r="I38" s="49">
        <v>78511.28</v>
      </c>
      <c r="J38" s="49"/>
      <c r="K38" s="49">
        <v>0</v>
      </c>
      <c r="L38" s="49"/>
      <c r="M38" s="49">
        <v>8031.74</v>
      </c>
      <c r="N38" s="49"/>
      <c r="O38" s="49">
        <v>13042</v>
      </c>
      <c r="P38" s="49"/>
      <c r="Q38" s="49">
        <v>621.30999999999995</v>
      </c>
      <c r="R38" s="49"/>
      <c r="S38" s="49">
        <v>8140.14</v>
      </c>
      <c r="T38" s="49"/>
      <c r="U38" s="49">
        <v>0</v>
      </c>
      <c r="V38" s="49"/>
      <c r="W38" s="49">
        <v>0</v>
      </c>
      <c r="X38" s="49"/>
      <c r="Y38" s="49">
        <v>0</v>
      </c>
      <c r="Z38" s="49"/>
      <c r="AA38" s="49">
        <v>0</v>
      </c>
      <c r="AB38" s="49"/>
      <c r="AC38" s="49">
        <v>0</v>
      </c>
      <c r="AD38" s="49"/>
      <c r="AE38" s="49">
        <v>0</v>
      </c>
      <c r="AF38" s="49"/>
      <c r="AG38" s="49">
        <v>0</v>
      </c>
      <c r="AH38" s="49"/>
      <c r="AI38" s="49">
        <f t="shared" si="3"/>
        <v>241980.36000000002</v>
      </c>
      <c r="AJ38" s="8"/>
      <c r="AK38" s="6" t="str">
        <f>'Gen Rev'!A38</f>
        <v>Attica</v>
      </c>
      <c r="AL38" s="6" t="str">
        <f t="shared" si="1"/>
        <v>Attica</v>
      </c>
      <c r="AM38" s="6" t="b">
        <f t="shared" si="2"/>
        <v>1</v>
      </c>
      <c r="AN38" s="6"/>
      <c r="AO38" s="6"/>
      <c r="AP38" s="6"/>
    </row>
    <row r="39" spans="1:42" s="14" customFormat="1" ht="12" customHeight="1" x14ac:dyDescent="0.2">
      <c r="A39" s="6" t="s">
        <v>620</v>
      </c>
      <c r="B39" s="6"/>
      <c r="C39" s="6" t="s">
        <v>619</v>
      </c>
      <c r="D39" s="6"/>
      <c r="E39" s="49">
        <v>8953</v>
      </c>
      <c r="F39" s="49"/>
      <c r="G39" s="49">
        <v>2778</v>
      </c>
      <c r="H39" s="49"/>
      <c r="I39" s="49">
        <v>22918</v>
      </c>
      <c r="J39" s="49"/>
      <c r="K39" s="49">
        <v>25105</v>
      </c>
      <c r="L39" s="49"/>
      <c r="M39" s="49">
        <v>2250</v>
      </c>
      <c r="N39" s="49"/>
      <c r="O39" s="49">
        <v>12264</v>
      </c>
      <c r="P39" s="49"/>
      <c r="Q39" s="49">
        <v>9</v>
      </c>
      <c r="R39" s="49"/>
      <c r="S39" s="49">
        <v>5070</v>
      </c>
      <c r="T39" s="49"/>
      <c r="U39" s="49">
        <v>0</v>
      </c>
      <c r="V39" s="49"/>
      <c r="W39" s="49">
        <v>0</v>
      </c>
      <c r="X39" s="49"/>
      <c r="Y39" s="49">
        <v>0</v>
      </c>
      <c r="Z39" s="49"/>
      <c r="AA39" s="49">
        <v>0</v>
      </c>
      <c r="AB39" s="49"/>
      <c r="AC39" s="49">
        <v>0</v>
      </c>
      <c r="AD39" s="49"/>
      <c r="AE39" s="49">
        <v>0</v>
      </c>
      <c r="AF39" s="49"/>
      <c r="AG39" s="49">
        <v>0</v>
      </c>
      <c r="AH39" s="49"/>
      <c r="AI39" s="49">
        <f t="shared" si="3"/>
        <v>79347</v>
      </c>
      <c r="AJ39" s="8"/>
      <c r="AK39" s="6" t="str">
        <f>'Gen Rev'!A39</f>
        <v>Bailey Lakes</v>
      </c>
      <c r="AL39" s="6" t="str">
        <f t="shared" si="1"/>
        <v>Bailey Lakes</v>
      </c>
      <c r="AM39" s="6" t="b">
        <f t="shared" si="2"/>
        <v>1</v>
      </c>
    </row>
    <row r="40" spans="1:42" s="14" customFormat="1" ht="12" customHeight="1" x14ac:dyDescent="0.2">
      <c r="A40" s="6" t="s">
        <v>720</v>
      </c>
      <c r="B40" s="6"/>
      <c r="C40" s="6" t="s">
        <v>485</v>
      </c>
      <c r="D40" s="6"/>
      <c r="E40" s="49">
        <v>58471.77</v>
      </c>
      <c r="F40" s="49"/>
      <c r="G40" s="49">
        <v>0</v>
      </c>
      <c r="H40" s="49"/>
      <c r="I40" s="49">
        <v>73418.02</v>
      </c>
      <c r="J40" s="49"/>
      <c r="K40" s="49">
        <v>0</v>
      </c>
      <c r="L40" s="49"/>
      <c r="M40" s="49">
        <v>32423.86</v>
      </c>
      <c r="N40" s="49"/>
      <c r="O40" s="49">
        <v>0</v>
      </c>
      <c r="P40" s="49"/>
      <c r="Q40" s="49">
        <v>622.84</v>
      </c>
      <c r="R40" s="49"/>
      <c r="S40" s="49">
        <v>52291.98</v>
      </c>
      <c r="T40" s="49"/>
      <c r="U40" s="49">
        <v>0</v>
      </c>
      <c r="V40" s="49"/>
      <c r="W40" s="49">
        <v>0</v>
      </c>
      <c r="X40" s="49"/>
      <c r="Y40" s="49">
        <v>0</v>
      </c>
      <c r="Z40" s="49"/>
      <c r="AA40" s="49">
        <v>0</v>
      </c>
      <c r="AB40" s="49"/>
      <c r="AC40" s="49">
        <v>0</v>
      </c>
      <c r="AD40" s="49"/>
      <c r="AE40" s="49">
        <v>0</v>
      </c>
      <c r="AF40" s="49"/>
      <c r="AG40" s="49">
        <v>0</v>
      </c>
      <c r="AH40" s="49"/>
      <c r="AI40" s="49">
        <f t="shared" si="3"/>
        <v>217228.47000000003</v>
      </c>
      <c r="AJ40" s="18"/>
      <c r="AK40" s="6" t="str">
        <f>'Gen Rev'!A40</f>
        <v>Bainbridge</v>
      </c>
      <c r="AL40" s="6" t="str">
        <f t="shared" si="1"/>
        <v>Bainbridge</v>
      </c>
      <c r="AM40" s="6" t="b">
        <f t="shared" si="2"/>
        <v>1</v>
      </c>
      <c r="AN40" s="18"/>
      <c r="AO40" s="18"/>
      <c r="AP40" s="18"/>
    </row>
    <row r="41" spans="1:42" s="14" customFormat="1" ht="12" customHeight="1" x14ac:dyDescent="0.2">
      <c r="A41" s="6" t="s">
        <v>520</v>
      </c>
      <c r="B41" s="6"/>
      <c r="C41" s="6" t="s">
        <v>521</v>
      </c>
      <c r="D41" s="6"/>
      <c r="E41" s="49">
        <v>89103</v>
      </c>
      <c r="F41" s="49"/>
      <c r="G41" s="49">
        <v>174822</v>
      </c>
      <c r="H41" s="49"/>
      <c r="I41" s="49">
        <v>148152</v>
      </c>
      <c r="J41" s="49"/>
      <c r="K41" s="49">
        <v>0</v>
      </c>
      <c r="L41" s="49"/>
      <c r="M41" s="49">
        <v>108239</v>
      </c>
      <c r="N41" s="49"/>
      <c r="O41" s="49">
        <v>331</v>
      </c>
      <c r="P41" s="49"/>
      <c r="Q41" s="49">
        <v>787</v>
      </c>
      <c r="R41" s="49"/>
      <c r="S41" s="49">
        <v>15674</v>
      </c>
      <c r="T41" s="49"/>
      <c r="U41" s="49">
        <v>0</v>
      </c>
      <c r="V41" s="49"/>
      <c r="W41" s="49">
        <v>0</v>
      </c>
      <c r="X41" s="49"/>
      <c r="Y41" s="49">
        <v>0</v>
      </c>
      <c r="Z41" s="49"/>
      <c r="AA41" s="49">
        <v>5000</v>
      </c>
      <c r="AB41" s="49"/>
      <c r="AC41" s="49">
        <v>0</v>
      </c>
      <c r="AD41" s="49"/>
      <c r="AE41" s="49">
        <v>16544</v>
      </c>
      <c r="AF41" s="49"/>
      <c r="AG41" s="49">
        <v>0</v>
      </c>
      <c r="AH41" s="49"/>
      <c r="AI41" s="49">
        <f t="shared" si="3"/>
        <v>558652</v>
      </c>
      <c r="AJ41" s="8"/>
      <c r="AK41" s="6" t="str">
        <f>'Gen Rev'!A41</f>
        <v>Baltic</v>
      </c>
      <c r="AL41" s="6" t="str">
        <f t="shared" si="1"/>
        <v>Baltic</v>
      </c>
      <c r="AM41" s="6" t="b">
        <f t="shared" si="2"/>
        <v>1</v>
      </c>
    </row>
    <row r="42" spans="1:42" ht="12" customHeight="1" x14ac:dyDescent="0.2">
      <c r="A42" s="6" t="s">
        <v>326</v>
      </c>
      <c r="C42" s="6" t="s">
        <v>327</v>
      </c>
      <c r="E42" s="49">
        <v>103648</v>
      </c>
      <c r="F42" s="49"/>
      <c r="G42" s="49">
        <v>640913</v>
      </c>
      <c r="H42" s="49"/>
      <c r="I42" s="49">
        <v>378915</v>
      </c>
      <c r="J42" s="49"/>
      <c r="K42" s="49">
        <v>0</v>
      </c>
      <c r="L42" s="49"/>
      <c r="M42" s="49">
        <v>40640</v>
      </c>
      <c r="N42" s="49"/>
      <c r="O42" s="49">
        <v>53646</v>
      </c>
      <c r="P42" s="49"/>
      <c r="Q42" s="49">
        <v>584</v>
      </c>
      <c r="R42" s="49"/>
      <c r="S42" s="49">
        <v>15103</v>
      </c>
      <c r="T42" s="49"/>
      <c r="U42" s="49">
        <v>0</v>
      </c>
      <c r="V42" s="49"/>
      <c r="W42" s="49">
        <v>0</v>
      </c>
      <c r="X42" s="49"/>
      <c r="Y42" s="49">
        <v>0</v>
      </c>
      <c r="Z42" s="49"/>
      <c r="AA42" s="49">
        <v>0</v>
      </c>
      <c r="AB42" s="49"/>
      <c r="AC42" s="49">
        <v>0</v>
      </c>
      <c r="AD42" s="49"/>
      <c r="AE42" s="49">
        <v>0</v>
      </c>
      <c r="AF42" s="49"/>
      <c r="AG42" s="49">
        <v>0</v>
      </c>
      <c r="AH42" s="49"/>
      <c r="AI42" s="49">
        <f t="shared" si="3"/>
        <v>1233449</v>
      </c>
      <c r="AJ42" s="8"/>
      <c r="AK42" s="6" t="str">
        <f>'Gen Rev'!A42</f>
        <v>Baltimore</v>
      </c>
      <c r="AL42" s="6" t="str">
        <f t="shared" si="1"/>
        <v>Baltimore</v>
      </c>
      <c r="AM42" s="6" t="b">
        <f t="shared" si="2"/>
        <v>1</v>
      </c>
      <c r="AN42" s="13"/>
      <c r="AO42" s="13"/>
      <c r="AP42" s="13"/>
    </row>
    <row r="43" spans="1:42" ht="12" customHeight="1" x14ac:dyDescent="0.2">
      <c r="A43" s="6" t="s">
        <v>260</v>
      </c>
      <c r="C43" s="6" t="s">
        <v>261</v>
      </c>
      <c r="E43" s="49">
        <v>166878</v>
      </c>
      <c r="F43" s="49"/>
      <c r="G43" s="49">
        <v>752391</v>
      </c>
      <c r="H43" s="49"/>
      <c r="I43" s="49">
        <v>467397</v>
      </c>
      <c r="J43" s="49"/>
      <c r="K43" s="49">
        <v>0</v>
      </c>
      <c r="L43" s="49"/>
      <c r="M43" s="49">
        <v>312018</v>
      </c>
      <c r="N43" s="49"/>
      <c r="O43" s="49">
        <v>70198</v>
      </c>
      <c r="P43" s="49"/>
      <c r="Q43" s="49">
        <v>106134</v>
      </c>
      <c r="R43" s="49"/>
      <c r="S43" s="49">
        <v>76066</v>
      </c>
      <c r="T43" s="49"/>
      <c r="U43" s="49">
        <v>0</v>
      </c>
      <c r="V43" s="49"/>
      <c r="W43" s="49">
        <v>0</v>
      </c>
      <c r="X43" s="49"/>
      <c r="Y43" s="49">
        <v>0</v>
      </c>
      <c r="Z43" s="49"/>
      <c r="AA43" s="49">
        <v>1022008</v>
      </c>
      <c r="AB43" s="49"/>
      <c r="AC43" s="49">
        <v>0</v>
      </c>
      <c r="AD43" s="49"/>
      <c r="AE43" s="49">
        <v>1573984</v>
      </c>
      <c r="AF43" s="49"/>
      <c r="AG43" s="49">
        <v>0</v>
      </c>
      <c r="AH43" s="49"/>
      <c r="AI43" s="49">
        <f t="shared" si="3"/>
        <v>4547074</v>
      </c>
      <c r="AJ43" s="8"/>
      <c r="AK43" s="6" t="str">
        <f>'Gen Rev'!A43</f>
        <v>Barnesville</v>
      </c>
      <c r="AL43" s="6" t="str">
        <f t="shared" si="1"/>
        <v>Barnesville</v>
      </c>
      <c r="AM43" s="6" t="b">
        <f t="shared" si="2"/>
        <v>1</v>
      </c>
    </row>
    <row r="44" spans="1:42" ht="12" customHeight="1" x14ac:dyDescent="0.2">
      <c r="A44" s="6" t="s">
        <v>522</v>
      </c>
      <c r="C44" s="6" t="s">
        <v>521</v>
      </c>
      <c r="E44" s="49">
        <v>17149.91</v>
      </c>
      <c r="F44" s="49"/>
      <c r="G44" s="49">
        <v>0</v>
      </c>
      <c r="H44" s="49"/>
      <c r="I44" s="49">
        <v>24752.99</v>
      </c>
      <c r="J44" s="49"/>
      <c r="K44" s="49">
        <v>0</v>
      </c>
      <c r="L44" s="49"/>
      <c r="M44" s="49">
        <v>0</v>
      </c>
      <c r="N44" s="49"/>
      <c r="O44" s="49">
        <v>0</v>
      </c>
      <c r="P44" s="49"/>
      <c r="Q44" s="49">
        <v>7.96</v>
      </c>
      <c r="R44" s="49"/>
      <c r="S44" s="49">
        <v>376.09</v>
      </c>
      <c r="T44" s="49"/>
      <c r="U44" s="49">
        <v>0</v>
      </c>
      <c r="V44" s="49"/>
      <c r="W44" s="49">
        <v>0</v>
      </c>
      <c r="X44" s="49"/>
      <c r="Y44" s="49">
        <v>670</v>
      </c>
      <c r="Z44" s="49"/>
      <c r="AA44" s="49">
        <v>0</v>
      </c>
      <c r="AB44" s="49"/>
      <c r="AC44" s="49">
        <v>0</v>
      </c>
      <c r="AD44" s="49"/>
      <c r="AE44" s="49">
        <v>0</v>
      </c>
      <c r="AF44" s="49"/>
      <c r="AG44" s="49">
        <v>0</v>
      </c>
      <c r="AH44" s="49"/>
      <c r="AI44" s="49">
        <f t="shared" si="3"/>
        <v>42956.95</v>
      </c>
      <c r="AJ44" s="8"/>
      <c r="AK44" s="6" t="str">
        <f>'Gen Rev'!A44</f>
        <v>Barnhill</v>
      </c>
      <c r="AL44" s="6" t="str">
        <f t="shared" si="1"/>
        <v>Barnhill</v>
      </c>
      <c r="AM44" s="6" t="b">
        <f t="shared" si="2"/>
        <v>1</v>
      </c>
    </row>
    <row r="45" spans="1:42" ht="12" customHeight="1" x14ac:dyDescent="0.2">
      <c r="A45" s="6" t="s">
        <v>276</v>
      </c>
      <c r="C45" s="6" t="s">
        <v>277</v>
      </c>
      <c r="E45" s="49">
        <v>95090.54</v>
      </c>
      <c r="F45" s="49"/>
      <c r="G45" s="49">
        <v>1269099.56</v>
      </c>
      <c r="H45" s="49"/>
      <c r="I45" s="49">
        <v>241474.39</v>
      </c>
      <c r="J45" s="49"/>
      <c r="K45" s="49">
        <v>21684.25</v>
      </c>
      <c r="L45" s="49"/>
      <c r="M45" s="49">
        <v>162</v>
      </c>
      <c r="N45" s="49"/>
      <c r="O45" s="49">
        <v>23214.799999999999</v>
      </c>
      <c r="P45" s="49"/>
      <c r="Q45" s="49">
        <v>311.97000000000003</v>
      </c>
      <c r="R45" s="49"/>
      <c r="S45" s="49">
        <v>2470</v>
      </c>
      <c r="T45" s="49"/>
      <c r="U45" s="49">
        <v>3001325</v>
      </c>
      <c r="V45" s="49"/>
      <c r="W45" s="49">
        <v>0</v>
      </c>
      <c r="X45" s="49"/>
      <c r="Y45" s="49">
        <v>0</v>
      </c>
      <c r="Z45" s="49"/>
      <c r="AA45" s="49">
        <v>651601.96</v>
      </c>
      <c r="AB45" s="49"/>
      <c r="AC45" s="49">
        <v>0</v>
      </c>
      <c r="AD45" s="49"/>
      <c r="AE45" s="49">
        <v>254952.91</v>
      </c>
      <c r="AF45" s="49"/>
      <c r="AG45" s="49">
        <v>0</v>
      </c>
      <c r="AH45" s="49"/>
      <c r="AI45" s="49">
        <f t="shared" si="3"/>
        <v>5561387.3799999999</v>
      </c>
      <c r="AJ45" s="8"/>
      <c r="AK45" s="6" t="str">
        <f>'Gen Rev'!A45</f>
        <v>Batavia</v>
      </c>
      <c r="AL45" s="6" t="str">
        <f t="shared" si="1"/>
        <v>Batavia</v>
      </c>
      <c r="AM45" s="6" t="b">
        <f t="shared" si="2"/>
        <v>1</v>
      </c>
    </row>
    <row r="46" spans="1:42" ht="12" customHeight="1" x14ac:dyDescent="0.2">
      <c r="A46" s="6" t="s">
        <v>454</v>
      </c>
      <c r="C46" s="6" t="s">
        <v>455</v>
      </c>
      <c r="E46" s="49">
        <f>12752+1045</f>
        <v>13797</v>
      </c>
      <c r="F46" s="49"/>
      <c r="G46" s="49">
        <v>0</v>
      </c>
      <c r="H46" s="49"/>
      <c r="I46" s="49">
        <v>5499</v>
      </c>
      <c r="J46" s="49"/>
      <c r="K46" s="49">
        <v>0</v>
      </c>
      <c r="L46" s="49"/>
      <c r="M46" s="49">
        <v>1650</v>
      </c>
      <c r="N46" s="49"/>
      <c r="O46" s="49">
        <v>207</v>
      </c>
      <c r="P46" s="49"/>
      <c r="Q46" s="49">
        <v>0</v>
      </c>
      <c r="R46" s="49"/>
      <c r="S46" s="49">
        <v>3047</v>
      </c>
      <c r="T46" s="49"/>
      <c r="U46" s="49">
        <v>0</v>
      </c>
      <c r="V46" s="49"/>
      <c r="W46" s="49">
        <v>0</v>
      </c>
      <c r="X46" s="49"/>
      <c r="Y46" s="49">
        <v>0</v>
      </c>
      <c r="Z46" s="49"/>
      <c r="AA46" s="49">
        <v>0</v>
      </c>
      <c r="AB46" s="49"/>
      <c r="AC46" s="49">
        <v>0</v>
      </c>
      <c r="AD46" s="49"/>
      <c r="AE46" s="49">
        <v>0</v>
      </c>
      <c r="AF46" s="49"/>
      <c r="AG46" s="49">
        <v>0</v>
      </c>
      <c r="AH46" s="49"/>
      <c r="AI46" s="49">
        <f t="shared" si="3"/>
        <v>24200</v>
      </c>
      <c r="AJ46" s="8"/>
      <c r="AK46" s="6" t="str">
        <f>'Gen Rev'!A46</f>
        <v>Batesville</v>
      </c>
      <c r="AL46" s="6" t="str">
        <f t="shared" si="1"/>
        <v>Batesville</v>
      </c>
      <c r="AM46" s="6" t="b">
        <f t="shared" si="2"/>
        <v>1</v>
      </c>
    </row>
    <row r="47" spans="1:42" s="14" customFormat="1" ht="12" customHeight="1" x14ac:dyDescent="0.2">
      <c r="A47" s="6" t="s">
        <v>53</v>
      </c>
      <c r="B47" s="6"/>
      <c r="C47" s="6" t="s">
        <v>325</v>
      </c>
      <c r="D47" s="6"/>
      <c r="E47" s="49">
        <v>102941.15</v>
      </c>
      <c r="F47" s="49"/>
      <c r="G47" s="49">
        <v>0</v>
      </c>
      <c r="H47" s="49"/>
      <c r="I47" s="49">
        <v>147039.29</v>
      </c>
      <c r="J47" s="49"/>
      <c r="K47" s="49">
        <v>6539.62</v>
      </c>
      <c r="L47" s="49"/>
      <c r="M47" s="49">
        <v>0</v>
      </c>
      <c r="N47" s="49"/>
      <c r="O47" s="49">
        <v>24868.12</v>
      </c>
      <c r="P47" s="49"/>
      <c r="Q47" s="49">
        <v>83.82</v>
      </c>
      <c r="R47" s="49"/>
      <c r="S47" s="49">
        <v>19004.259999999998</v>
      </c>
      <c r="T47" s="49"/>
      <c r="U47" s="49">
        <v>0</v>
      </c>
      <c r="V47" s="49"/>
      <c r="W47" s="49">
        <v>0</v>
      </c>
      <c r="X47" s="49"/>
      <c r="Y47" s="49">
        <v>0</v>
      </c>
      <c r="Z47" s="49"/>
      <c r="AA47" s="49">
        <v>0</v>
      </c>
      <c r="AB47" s="49"/>
      <c r="AC47" s="49">
        <v>0</v>
      </c>
      <c r="AD47" s="49"/>
      <c r="AE47" s="49">
        <v>0</v>
      </c>
      <c r="AF47" s="49"/>
      <c r="AG47" s="49">
        <v>0</v>
      </c>
      <c r="AH47" s="49"/>
      <c r="AI47" s="49">
        <f t="shared" si="3"/>
        <v>300476.26</v>
      </c>
      <c r="AJ47" s="8"/>
      <c r="AK47" s="6" t="str">
        <f>'Gen Rev'!A47</f>
        <v>Bay View</v>
      </c>
      <c r="AL47" s="6" t="str">
        <f t="shared" si="1"/>
        <v>Bay View</v>
      </c>
      <c r="AM47" s="6" t="b">
        <f t="shared" si="2"/>
        <v>1</v>
      </c>
      <c r="AN47" s="6"/>
      <c r="AO47" s="6"/>
      <c r="AP47" s="6"/>
    </row>
    <row r="48" spans="1:42" ht="12" customHeight="1" x14ac:dyDescent="0.2">
      <c r="A48" s="6" t="s">
        <v>501</v>
      </c>
      <c r="C48" s="6" t="s">
        <v>502</v>
      </c>
      <c r="E48" s="49">
        <v>128290</v>
      </c>
      <c r="F48" s="49"/>
      <c r="G48" s="49">
        <v>96090</v>
      </c>
      <c r="H48" s="49"/>
      <c r="I48" s="49">
        <v>74644</v>
      </c>
      <c r="J48" s="49"/>
      <c r="K48" s="49">
        <v>0</v>
      </c>
      <c r="L48" s="49"/>
      <c r="M48" s="49">
        <v>84215</v>
      </c>
      <c r="N48" s="49"/>
      <c r="O48" s="49">
        <v>804</v>
      </c>
      <c r="P48" s="49"/>
      <c r="Q48" s="49">
        <v>2715</v>
      </c>
      <c r="R48" s="49"/>
      <c r="S48" s="49">
        <v>38913</v>
      </c>
      <c r="T48" s="49"/>
      <c r="U48" s="49">
        <v>0</v>
      </c>
      <c r="V48" s="49"/>
      <c r="W48" s="49">
        <v>0</v>
      </c>
      <c r="X48" s="49"/>
      <c r="Y48" s="49">
        <v>0</v>
      </c>
      <c r="Z48" s="49"/>
      <c r="AA48" s="49">
        <v>0</v>
      </c>
      <c r="AB48" s="49"/>
      <c r="AC48" s="49">
        <v>0</v>
      </c>
      <c r="AD48" s="49"/>
      <c r="AE48" s="49">
        <v>1259</v>
      </c>
      <c r="AF48" s="49"/>
      <c r="AG48" s="49">
        <v>0</v>
      </c>
      <c r="AH48" s="49"/>
      <c r="AI48" s="49">
        <f t="shared" si="3"/>
        <v>426930</v>
      </c>
      <c r="AJ48" s="8"/>
      <c r="AK48" s="6" t="str">
        <f>'Gen Rev'!A48</f>
        <v>Beach</v>
      </c>
      <c r="AL48" s="6" t="str">
        <f t="shared" si="1"/>
        <v>Beach</v>
      </c>
      <c r="AM48" s="6" t="b">
        <f t="shared" si="2"/>
        <v>1</v>
      </c>
    </row>
    <row r="49" spans="1:42" ht="12" customHeight="1" x14ac:dyDescent="0.2">
      <c r="A49" s="6" t="s">
        <v>151</v>
      </c>
      <c r="C49" s="6" t="s">
        <v>441</v>
      </c>
      <c r="E49" s="49">
        <v>14718.06</v>
      </c>
      <c r="F49" s="49"/>
      <c r="G49" s="49">
        <v>0</v>
      </c>
      <c r="H49" s="49"/>
      <c r="I49" s="49">
        <v>28663.81</v>
      </c>
      <c r="J49" s="49"/>
      <c r="K49" s="49">
        <v>0</v>
      </c>
      <c r="L49" s="49"/>
      <c r="M49" s="49">
        <v>0</v>
      </c>
      <c r="N49" s="49"/>
      <c r="O49" s="49">
        <v>0</v>
      </c>
      <c r="P49" s="49"/>
      <c r="Q49" s="49">
        <v>290.45</v>
      </c>
      <c r="R49" s="49"/>
      <c r="S49" s="49">
        <v>2718.64</v>
      </c>
      <c r="T49" s="49"/>
      <c r="U49" s="49">
        <v>0</v>
      </c>
      <c r="V49" s="49"/>
      <c r="W49" s="49">
        <v>0</v>
      </c>
      <c r="X49" s="49"/>
      <c r="Y49" s="49">
        <v>0</v>
      </c>
      <c r="Z49" s="49"/>
      <c r="AA49" s="49">
        <v>0</v>
      </c>
      <c r="AB49" s="49"/>
      <c r="AC49" s="49">
        <v>0</v>
      </c>
      <c r="AD49" s="49"/>
      <c r="AE49" s="49">
        <v>0</v>
      </c>
      <c r="AF49" s="49"/>
      <c r="AG49" s="49">
        <v>0</v>
      </c>
      <c r="AH49" s="49"/>
      <c r="AI49" s="49">
        <f t="shared" si="3"/>
        <v>46390.96</v>
      </c>
      <c r="AJ49" s="8"/>
      <c r="AK49" s="6" t="str">
        <f>'Gen Rev'!A49</f>
        <v>Beallsville</v>
      </c>
      <c r="AL49" s="6" t="str">
        <f t="shared" si="1"/>
        <v>Beallsville</v>
      </c>
      <c r="AM49" s="6" t="b">
        <f t="shared" si="2"/>
        <v>1</v>
      </c>
    </row>
    <row r="50" spans="1:42" ht="12" customHeight="1" x14ac:dyDescent="0.2">
      <c r="A50" s="6" t="s">
        <v>178</v>
      </c>
      <c r="C50" s="6" t="s">
        <v>469</v>
      </c>
      <c r="E50" s="49">
        <v>18822.22</v>
      </c>
      <c r="F50" s="49"/>
      <c r="G50" s="49">
        <v>0</v>
      </c>
      <c r="H50" s="49"/>
      <c r="I50" s="49">
        <v>78242.92</v>
      </c>
      <c r="J50" s="49"/>
      <c r="K50" s="49">
        <v>0</v>
      </c>
      <c r="L50" s="49"/>
      <c r="M50" s="49">
        <v>27928</v>
      </c>
      <c r="N50" s="49"/>
      <c r="O50" s="49">
        <v>3311.06</v>
      </c>
      <c r="P50" s="49"/>
      <c r="Q50" s="49">
        <v>122.93</v>
      </c>
      <c r="R50" s="49"/>
      <c r="S50" s="49">
        <v>3676.77</v>
      </c>
      <c r="T50" s="49"/>
      <c r="U50" s="49">
        <v>0</v>
      </c>
      <c r="V50" s="49"/>
      <c r="W50" s="49">
        <v>0</v>
      </c>
      <c r="X50" s="49"/>
      <c r="Y50" s="49">
        <v>0</v>
      </c>
      <c r="Z50" s="49"/>
      <c r="AA50" s="49">
        <v>2900</v>
      </c>
      <c r="AB50" s="49"/>
      <c r="AC50" s="49">
        <v>0</v>
      </c>
      <c r="AD50" s="49"/>
      <c r="AE50" s="49">
        <v>0</v>
      </c>
      <c r="AF50" s="49"/>
      <c r="AG50" s="49">
        <v>0</v>
      </c>
      <c r="AH50" s="49"/>
      <c r="AI50" s="49">
        <f t="shared" si="3"/>
        <v>135003.9</v>
      </c>
      <c r="AJ50" s="8"/>
      <c r="AK50" s="6" t="str">
        <f>'Gen Rev'!A50</f>
        <v>Beaver</v>
      </c>
      <c r="AL50" s="6" t="str">
        <f t="shared" si="1"/>
        <v>Beaver</v>
      </c>
      <c r="AM50" s="6" t="b">
        <f t="shared" si="2"/>
        <v>1</v>
      </c>
    </row>
    <row r="51" spans="1:42" ht="12" customHeight="1" x14ac:dyDescent="0.2">
      <c r="A51" s="6" t="s">
        <v>2</v>
      </c>
      <c r="C51" s="6" t="s">
        <v>651</v>
      </c>
      <c r="E51" s="49">
        <v>23173.68</v>
      </c>
      <c r="F51" s="49"/>
      <c r="G51" s="49">
        <v>228959.1</v>
      </c>
      <c r="H51" s="49"/>
      <c r="I51" s="49">
        <v>30603.49</v>
      </c>
      <c r="J51" s="49"/>
      <c r="K51" s="49">
        <v>0</v>
      </c>
      <c r="L51" s="49"/>
      <c r="M51" s="49">
        <v>305</v>
      </c>
      <c r="N51" s="49"/>
      <c r="O51" s="49">
        <v>6016.85</v>
      </c>
      <c r="P51" s="49"/>
      <c r="Q51" s="49">
        <v>1422.69</v>
      </c>
      <c r="R51" s="49"/>
      <c r="S51" s="49">
        <v>12991.85</v>
      </c>
      <c r="T51" s="49"/>
      <c r="U51" s="49">
        <v>0</v>
      </c>
      <c r="V51" s="49"/>
      <c r="W51" s="49">
        <v>113367.43</v>
      </c>
      <c r="X51" s="49"/>
      <c r="Y51" s="49">
        <v>0</v>
      </c>
      <c r="Z51" s="49"/>
      <c r="AA51" s="49">
        <v>5000</v>
      </c>
      <c r="AB51" s="49"/>
      <c r="AC51" s="49">
        <v>0</v>
      </c>
      <c r="AD51" s="49"/>
      <c r="AE51" s="49">
        <v>190</v>
      </c>
      <c r="AF51" s="49"/>
      <c r="AG51" s="49">
        <v>0</v>
      </c>
      <c r="AH51" s="49"/>
      <c r="AI51" s="49">
        <f t="shared" si="3"/>
        <v>422030.08999999997</v>
      </c>
      <c r="AJ51" s="8"/>
      <c r="AK51" s="6" t="str">
        <f>'Gen Rev'!A51</f>
        <v>Beaverdam</v>
      </c>
      <c r="AL51" s="6" t="str">
        <f t="shared" si="1"/>
        <v>Beaverdam</v>
      </c>
      <c r="AM51" s="6" t="b">
        <f t="shared" si="2"/>
        <v>1</v>
      </c>
      <c r="AN51" s="14"/>
      <c r="AO51" s="14"/>
      <c r="AP51" s="14"/>
    </row>
    <row r="52" spans="1:42" ht="12" customHeight="1" x14ac:dyDescent="0.2">
      <c r="A52" s="6" t="s">
        <v>262</v>
      </c>
      <c r="C52" s="6" t="s">
        <v>261</v>
      </c>
      <c r="E52" s="49">
        <v>124771</v>
      </c>
      <c r="F52" s="49"/>
      <c r="G52" s="49">
        <v>768390</v>
      </c>
      <c r="H52" s="49"/>
      <c r="I52" s="49">
        <v>347311</v>
      </c>
      <c r="J52" s="49"/>
      <c r="K52" s="49">
        <v>0</v>
      </c>
      <c r="L52" s="49"/>
      <c r="M52" s="49">
        <v>189127</v>
      </c>
      <c r="N52" s="49"/>
      <c r="O52" s="49">
        <v>59515</v>
      </c>
      <c r="P52" s="49"/>
      <c r="Q52" s="49">
        <v>9256</v>
      </c>
      <c r="R52" s="49"/>
      <c r="S52" s="49">
        <f>28380+23458+36816</f>
        <v>88654</v>
      </c>
      <c r="T52" s="49"/>
      <c r="U52" s="49">
        <v>0</v>
      </c>
      <c r="V52" s="49"/>
      <c r="W52" s="49">
        <v>0</v>
      </c>
      <c r="X52" s="49"/>
      <c r="Y52" s="49">
        <v>25400</v>
      </c>
      <c r="Z52" s="49"/>
      <c r="AA52" s="49">
        <v>0</v>
      </c>
      <c r="AB52" s="49"/>
      <c r="AC52" s="49">
        <v>0</v>
      </c>
      <c r="AD52" s="49"/>
      <c r="AE52" s="49">
        <v>0</v>
      </c>
      <c r="AF52" s="49"/>
      <c r="AG52" s="49">
        <v>0</v>
      </c>
      <c r="AH52" s="49"/>
      <c r="AI52" s="49">
        <f t="shared" si="3"/>
        <v>1612424</v>
      </c>
      <c r="AJ52" s="8"/>
      <c r="AK52" s="6" t="str">
        <f>'Gen Rev'!A52</f>
        <v>Bellaire</v>
      </c>
      <c r="AL52" s="6" t="str">
        <f t="shared" si="1"/>
        <v>Bellaire</v>
      </c>
      <c r="AM52" s="6" t="b">
        <f t="shared" si="2"/>
        <v>1</v>
      </c>
      <c r="AN52" s="15"/>
      <c r="AO52" s="15"/>
      <c r="AP52" s="15"/>
    </row>
    <row r="53" spans="1:42" s="14" customFormat="1" ht="12" customHeight="1" x14ac:dyDescent="0.2">
      <c r="A53" s="6" t="s">
        <v>123</v>
      </c>
      <c r="B53" s="6"/>
      <c r="C53" s="6" t="s">
        <v>414</v>
      </c>
      <c r="D53" s="6"/>
      <c r="E53" s="49">
        <v>57999.27</v>
      </c>
      <c r="F53" s="49"/>
      <c r="G53" s="49">
        <v>93309.88</v>
      </c>
      <c r="H53" s="49"/>
      <c r="I53" s="49">
        <v>37166.85</v>
      </c>
      <c r="J53" s="49"/>
      <c r="K53" s="49">
        <v>0</v>
      </c>
      <c r="L53" s="49"/>
      <c r="M53" s="49">
        <v>0</v>
      </c>
      <c r="N53" s="49"/>
      <c r="O53" s="49">
        <v>7394.67</v>
      </c>
      <c r="P53" s="49"/>
      <c r="Q53" s="49">
        <v>1763.45</v>
      </c>
      <c r="R53" s="49"/>
      <c r="S53" s="49">
        <v>20711.939999999999</v>
      </c>
      <c r="T53" s="49"/>
      <c r="U53" s="49">
        <v>0</v>
      </c>
      <c r="V53" s="49"/>
      <c r="W53" s="49">
        <v>0</v>
      </c>
      <c r="X53" s="49"/>
      <c r="Y53" s="49">
        <v>0</v>
      </c>
      <c r="Z53" s="49"/>
      <c r="AA53" s="49">
        <v>0</v>
      </c>
      <c r="AB53" s="49"/>
      <c r="AC53" s="49">
        <v>0</v>
      </c>
      <c r="AD53" s="49"/>
      <c r="AE53" s="49">
        <v>32662.74</v>
      </c>
      <c r="AF53" s="49"/>
      <c r="AG53" s="49">
        <v>0</v>
      </c>
      <c r="AH53" s="49"/>
      <c r="AI53" s="49">
        <f t="shared" si="3"/>
        <v>251008.80000000002</v>
      </c>
      <c r="AJ53" s="8"/>
      <c r="AK53" s="6" t="str">
        <f>'Gen Rev'!A53</f>
        <v>Belle Center</v>
      </c>
      <c r="AL53" s="6" t="str">
        <f t="shared" si="1"/>
        <v>Belle Center</v>
      </c>
      <c r="AM53" s="6" t="b">
        <f t="shared" si="2"/>
        <v>1</v>
      </c>
    </row>
    <row r="54" spans="1:42" ht="12" customHeight="1" x14ac:dyDescent="0.2">
      <c r="A54" s="6" t="s">
        <v>456</v>
      </c>
      <c r="C54" s="6" t="s">
        <v>455</v>
      </c>
      <c r="E54" s="49">
        <v>10427.530000000001</v>
      </c>
      <c r="F54" s="49"/>
      <c r="G54" s="49">
        <v>0</v>
      </c>
      <c r="H54" s="49"/>
      <c r="I54" s="49">
        <v>23791.49</v>
      </c>
      <c r="J54" s="49"/>
      <c r="K54" s="49">
        <v>0</v>
      </c>
      <c r="L54" s="49"/>
      <c r="M54" s="49">
        <v>1077.33</v>
      </c>
      <c r="N54" s="49"/>
      <c r="O54" s="49">
        <v>0</v>
      </c>
      <c r="P54" s="49"/>
      <c r="Q54" s="49">
        <v>14.93</v>
      </c>
      <c r="R54" s="49"/>
      <c r="S54" s="49">
        <v>0</v>
      </c>
      <c r="T54" s="49"/>
      <c r="U54" s="49">
        <v>0</v>
      </c>
      <c r="V54" s="49"/>
      <c r="W54" s="49">
        <v>0</v>
      </c>
      <c r="X54" s="49"/>
      <c r="Y54" s="49">
        <v>0</v>
      </c>
      <c r="Z54" s="49"/>
      <c r="AA54" s="49">
        <v>0</v>
      </c>
      <c r="AB54" s="49"/>
      <c r="AC54" s="49">
        <v>0</v>
      </c>
      <c r="AD54" s="49"/>
      <c r="AE54" s="49">
        <v>0</v>
      </c>
      <c r="AF54" s="49"/>
      <c r="AG54" s="49">
        <v>0</v>
      </c>
      <c r="AH54" s="49"/>
      <c r="AI54" s="49">
        <f t="shared" si="3"/>
        <v>35311.280000000006</v>
      </c>
      <c r="AJ54" s="8"/>
      <c r="AK54" s="6" t="str">
        <f>'Gen Rev'!A54</f>
        <v>Belle Valley</v>
      </c>
      <c r="AL54" s="6" t="str">
        <f t="shared" si="1"/>
        <v>Belle Valley</v>
      </c>
      <c r="AM54" s="6" t="b">
        <f t="shared" si="2"/>
        <v>1</v>
      </c>
    </row>
    <row r="55" spans="1:42" ht="12" customHeight="1" x14ac:dyDescent="0.2">
      <c r="A55" s="6" t="s">
        <v>193</v>
      </c>
      <c r="C55" s="6" t="s">
        <v>481</v>
      </c>
      <c r="E55" s="49">
        <v>463066.39</v>
      </c>
      <c r="F55" s="49"/>
      <c r="G55" s="49">
        <v>413846.27</v>
      </c>
      <c r="H55" s="49"/>
      <c r="I55" s="49">
        <v>585015.88</v>
      </c>
      <c r="J55" s="49"/>
      <c r="K55" s="49">
        <v>0</v>
      </c>
      <c r="L55" s="49"/>
      <c r="M55" s="49">
        <v>67623.86</v>
      </c>
      <c r="N55" s="49"/>
      <c r="O55" s="49">
        <v>57131.07</v>
      </c>
      <c r="P55" s="49"/>
      <c r="Q55" s="49">
        <v>237.15</v>
      </c>
      <c r="R55" s="49"/>
      <c r="S55" s="49">
        <v>78472.78</v>
      </c>
      <c r="T55" s="49"/>
      <c r="U55" s="49">
        <v>0</v>
      </c>
      <c r="V55" s="49"/>
      <c r="W55" s="49">
        <v>0</v>
      </c>
      <c r="X55" s="49"/>
      <c r="Y55" s="49">
        <v>0</v>
      </c>
      <c r="Z55" s="49"/>
      <c r="AA55" s="49">
        <v>505525.55</v>
      </c>
      <c r="AB55" s="49"/>
      <c r="AC55" s="49">
        <v>0</v>
      </c>
      <c r="AD55" s="49"/>
      <c r="AE55" s="49">
        <v>75209.399999999994</v>
      </c>
      <c r="AF55" s="49"/>
      <c r="AG55" s="49">
        <v>10622.36</v>
      </c>
      <c r="AH55" s="49"/>
      <c r="AI55" s="49">
        <f t="shared" si="3"/>
        <v>2256750.71</v>
      </c>
      <c r="AJ55" s="8"/>
      <c r="AK55" s="6" t="str">
        <f>'Gen Rev'!A55</f>
        <v>Bellville</v>
      </c>
      <c r="AL55" s="6" t="str">
        <f t="shared" si="1"/>
        <v>Bellville</v>
      </c>
      <c r="AM55" s="6" t="b">
        <f t="shared" si="2"/>
        <v>1</v>
      </c>
    </row>
    <row r="56" spans="1:42" ht="12" customHeight="1" x14ac:dyDescent="0.2">
      <c r="A56" s="6" t="s">
        <v>261</v>
      </c>
      <c r="C56" s="6" t="s">
        <v>261</v>
      </c>
      <c r="E56" s="49">
        <v>26855.279999999999</v>
      </c>
      <c r="F56" s="49"/>
      <c r="G56" s="49">
        <v>0</v>
      </c>
      <c r="H56" s="49"/>
      <c r="I56" s="49">
        <v>61400.66</v>
      </c>
      <c r="J56" s="49"/>
      <c r="K56" s="49">
        <v>0</v>
      </c>
      <c r="L56" s="49"/>
      <c r="M56" s="49">
        <v>130224.67</v>
      </c>
      <c r="N56" s="49"/>
      <c r="O56" s="49">
        <v>4356.9399999999996</v>
      </c>
      <c r="P56" s="49"/>
      <c r="Q56" s="49">
        <v>664.34</v>
      </c>
      <c r="R56" s="49"/>
      <c r="S56" s="49">
        <v>5793.71</v>
      </c>
      <c r="T56" s="49"/>
      <c r="U56" s="49">
        <v>0</v>
      </c>
      <c r="V56" s="49"/>
      <c r="W56" s="49">
        <v>0</v>
      </c>
      <c r="X56" s="49"/>
      <c r="Y56" s="49">
        <v>0</v>
      </c>
      <c r="Z56" s="49"/>
      <c r="AA56" s="49">
        <v>0</v>
      </c>
      <c r="AB56" s="49"/>
      <c r="AC56" s="49">
        <v>0</v>
      </c>
      <c r="AD56" s="49"/>
      <c r="AE56" s="49">
        <v>0</v>
      </c>
      <c r="AF56" s="49"/>
      <c r="AG56" s="49">
        <v>0</v>
      </c>
      <c r="AH56" s="49"/>
      <c r="AI56" s="49">
        <f t="shared" si="3"/>
        <v>229295.59999999998</v>
      </c>
      <c r="AJ56" s="8"/>
      <c r="AK56" s="6" t="str">
        <f>'Gen Rev'!A56</f>
        <v>Belmont</v>
      </c>
      <c r="AL56" s="6" t="str">
        <f t="shared" si="1"/>
        <v>Belmont</v>
      </c>
      <c r="AM56" s="6" t="b">
        <f t="shared" si="2"/>
        <v>1</v>
      </c>
      <c r="AN56" s="14"/>
      <c r="AO56" s="14"/>
      <c r="AP56" s="14"/>
    </row>
    <row r="57" spans="1:42" s="14" customFormat="1" ht="12" customHeight="1" x14ac:dyDescent="0.2">
      <c r="A57" s="6" t="s">
        <v>794</v>
      </c>
      <c r="B57" s="6"/>
      <c r="C57" s="6" t="s">
        <v>476</v>
      </c>
      <c r="D57" s="6"/>
      <c r="E57" s="49">
        <v>3522.86</v>
      </c>
      <c r="F57" s="49"/>
      <c r="G57" s="49">
        <v>0</v>
      </c>
      <c r="H57" s="49"/>
      <c r="I57" s="49">
        <v>24349.31</v>
      </c>
      <c r="J57" s="49"/>
      <c r="K57" s="49">
        <v>0</v>
      </c>
      <c r="L57" s="49"/>
      <c r="M57" s="49">
        <v>0</v>
      </c>
      <c r="N57" s="49"/>
      <c r="O57" s="49">
        <v>3302.25</v>
      </c>
      <c r="P57" s="49"/>
      <c r="Q57" s="49">
        <v>167.32</v>
      </c>
      <c r="R57" s="49"/>
      <c r="S57" s="49">
        <v>6363.08</v>
      </c>
      <c r="T57" s="49"/>
      <c r="U57" s="49">
        <v>0</v>
      </c>
      <c r="V57" s="49"/>
      <c r="W57" s="49">
        <v>0</v>
      </c>
      <c r="X57" s="49"/>
      <c r="Y57" s="49">
        <v>0</v>
      </c>
      <c r="Z57" s="49"/>
      <c r="AA57" s="49">
        <v>0</v>
      </c>
      <c r="AB57" s="49"/>
      <c r="AC57" s="49">
        <v>0</v>
      </c>
      <c r="AD57" s="49"/>
      <c r="AE57" s="49">
        <v>0</v>
      </c>
      <c r="AF57" s="49"/>
      <c r="AG57" s="49">
        <v>0</v>
      </c>
      <c r="AH57" s="49"/>
      <c r="AI57" s="49">
        <f t="shared" si="3"/>
        <v>37704.82</v>
      </c>
      <c r="AJ57" s="8"/>
      <c r="AK57" s="6" t="str">
        <f>'Gen Rev'!A57</f>
        <v>Belmore</v>
      </c>
      <c r="AL57" s="6" t="str">
        <f t="shared" si="1"/>
        <v>Belmore</v>
      </c>
      <c r="AM57" s="6" t="b">
        <f t="shared" si="2"/>
        <v>1</v>
      </c>
      <c r="AN57" s="6"/>
      <c r="AO57" s="6"/>
      <c r="AP57" s="6"/>
    </row>
    <row r="58" spans="1:42" s="14" customFormat="1" ht="12" customHeight="1" x14ac:dyDescent="0.2">
      <c r="A58" s="6" t="s">
        <v>134</v>
      </c>
      <c r="B58" s="6"/>
      <c r="C58" s="6" t="s">
        <v>429</v>
      </c>
      <c r="D58" s="6"/>
      <c r="E58" s="49">
        <v>178957.93</v>
      </c>
      <c r="F58" s="49"/>
      <c r="G58" s="49">
        <v>0</v>
      </c>
      <c r="H58" s="49"/>
      <c r="I58" s="49">
        <v>83193.14</v>
      </c>
      <c r="J58" s="49"/>
      <c r="K58" s="49">
        <v>2812.5</v>
      </c>
      <c r="L58" s="49"/>
      <c r="M58" s="49">
        <v>131223.62</v>
      </c>
      <c r="N58" s="49"/>
      <c r="O58" s="49">
        <v>15575.69</v>
      </c>
      <c r="P58" s="49"/>
      <c r="Q58" s="49">
        <v>30.79</v>
      </c>
      <c r="R58" s="49"/>
      <c r="S58" s="49">
        <v>101142.04</v>
      </c>
      <c r="T58" s="49"/>
      <c r="U58" s="49">
        <v>0</v>
      </c>
      <c r="V58" s="49"/>
      <c r="W58" s="49">
        <v>0</v>
      </c>
      <c r="X58" s="49"/>
      <c r="Y58" s="49">
        <v>0</v>
      </c>
      <c r="Z58" s="49"/>
      <c r="AA58" s="49">
        <v>0</v>
      </c>
      <c r="AB58" s="49"/>
      <c r="AC58" s="49">
        <v>0</v>
      </c>
      <c r="AD58" s="49"/>
      <c r="AE58" s="49">
        <v>247527</v>
      </c>
      <c r="AF58" s="49"/>
      <c r="AG58" s="49">
        <v>0</v>
      </c>
      <c r="AH58" s="49"/>
      <c r="AI58" s="49">
        <f t="shared" si="3"/>
        <v>760462.71</v>
      </c>
      <c r="AJ58" s="8"/>
      <c r="AK58" s="6" t="str">
        <f>'Gen Rev'!A58</f>
        <v>Beloit</v>
      </c>
      <c r="AL58" s="6" t="str">
        <f t="shared" si="1"/>
        <v>Beloit</v>
      </c>
      <c r="AM58" s="6" t="b">
        <f t="shared" si="2"/>
        <v>1</v>
      </c>
      <c r="AN58" s="12"/>
      <c r="AO58" s="12"/>
      <c r="AP58" s="12"/>
    </row>
    <row r="59" spans="1:42" s="14" customFormat="1" ht="12" customHeight="1" x14ac:dyDescent="0.2">
      <c r="A59" s="6" t="s">
        <v>292</v>
      </c>
      <c r="B59" s="6"/>
      <c r="C59" s="6" t="s">
        <v>293</v>
      </c>
      <c r="D59" s="6"/>
      <c r="E59" s="49">
        <v>568248</v>
      </c>
      <c r="F59" s="49"/>
      <c r="G59" s="49">
        <v>854973</v>
      </c>
      <c r="H59" s="49"/>
      <c r="I59" s="49">
        <v>118003</v>
      </c>
      <c r="J59" s="49"/>
      <c r="K59" s="49">
        <v>122151</v>
      </c>
      <c r="L59" s="49"/>
      <c r="M59" s="49">
        <v>10753</v>
      </c>
      <c r="N59" s="49"/>
      <c r="O59" s="49">
        <v>17027</v>
      </c>
      <c r="P59" s="49"/>
      <c r="Q59" s="49">
        <v>5381</v>
      </c>
      <c r="R59" s="49"/>
      <c r="S59" s="49">
        <v>37941</v>
      </c>
      <c r="T59" s="49"/>
      <c r="U59" s="49">
        <v>0</v>
      </c>
      <c r="V59" s="49"/>
      <c r="W59" s="49">
        <v>0</v>
      </c>
      <c r="X59" s="49"/>
      <c r="Y59" s="49">
        <v>0</v>
      </c>
      <c r="Z59" s="49"/>
      <c r="AA59" s="49">
        <v>174773</v>
      </c>
      <c r="AB59" s="49"/>
      <c r="AC59" s="49">
        <v>0</v>
      </c>
      <c r="AD59" s="49"/>
      <c r="AE59" s="49">
        <v>0</v>
      </c>
      <c r="AF59" s="49"/>
      <c r="AG59" s="49">
        <v>0</v>
      </c>
      <c r="AH59" s="49"/>
      <c r="AI59" s="49">
        <f t="shared" si="3"/>
        <v>1909250</v>
      </c>
      <c r="AJ59" s="8"/>
      <c r="AK59" s="6" t="str">
        <f>'Gen Rev'!A59</f>
        <v>Bentleyville</v>
      </c>
      <c r="AL59" s="6" t="str">
        <f t="shared" si="1"/>
        <v>Bentleyville</v>
      </c>
      <c r="AM59" s="6" t="b">
        <f t="shared" si="2"/>
        <v>1</v>
      </c>
      <c r="AN59" s="12"/>
      <c r="AO59" s="12"/>
      <c r="AP59" s="12"/>
    </row>
    <row r="60" spans="1:42" s="14" customFormat="1" ht="12" customHeight="1" x14ac:dyDescent="0.2">
      <c r="A60" s="6" t="s">
        <v>761</v>
      </c>
      <c r="B60" s="6"/>
      <c r="C60" s="6" t="s">
        <v>360</v>
      </c>
      <c r="D60" s="6"/>
      <c r="E60" s="49">
        <v>4784.78</v>
      </c>
      <c r="F60" s="49"/>
      <c r="G60" s="49">
        <v>0</v>
      </c>
      <c r="H60" s="49"/>
      <c r="I60" s="49">
        <v>38220.11</v>
      </c>
      <c r="J60" s="49"/>
      <c r="K60" s="49">
        <v>8614.31</v>
      </c>
      <c r="L60" s="49"/>
      <c r="M60" s="49">
        <v>1275</v>
      </c>
      <c r="N60" s="49"/>
      <c r="O60" s="49">
        <v>0</v>
      </c>
      <c r="P60" s="49"/>
      <c r="Q60" s="49">
        <v>1665.73</v>
      </c>
      <c r="R60" s="49"/>
      <c r="S60" s="49">
        <v>90109.39</v>
      </c>
      <c r="T60" s="49"/>
      <c r="U60" s="49">
        <v>0</v>
      </c>
      <c r="V60" s="49"/>
      <c r="W60" s="49">
        <v>0</v>
      </c>
      <c r="X60" s="49"/>
      <c r="Y60" s="49">
        <v>0</v>
      </c>
      <c r="Z60" s="49"/>
      <c r="AA60" s="49">
        <v>0</v>
      </c>
      <c r="AB60" s="49"/>
      <c r="AC60" s="49">
        <v>0</v>
      </c>
      <c r="AD60" s="49"/>
      <c r="AE60" s="49">
        <v>0</v>
      </c>
      <c r="AF60" s="49"/>
      <c r="AG60" s="49">
        <v>0</v>
      </c>
      <c r="AH60" s="49"/>
      <c r="AI60" s="49">
        <f t="shared" si="3"/>
        <v>144669.32</v>
      </c>
      <c r="AJ60" s="8"/>
      <c r="AK60" s="6" t="str">
        <f>'Gen Rev'!A60</f>
        <v>Benton Ridge</v>
      </c>
      <c r="AL60" s="6" t="str">
        <f t="shared" si="1"/>
        <v>Benton Ridge</v>
      </c>
      <c r="AM60" s="6" t="b">
        <f t="shared" si="2"/>
        <v>1</v>
      </c>
      <c r="AN60" s="12"/>
      <c r="AO60" s="12"/>
      <c r="AP60" s="12"/>
    </row>
    <row r="61" spans="1:42" ht="12" customHeight="1" x14ac:dyDescent="0.2">
      <c r="A61" s="6" t="s">
        <v>130</v>
      </c>
      <c r="C61" s="6" t="s">
        <v>423</v>
      </c>
      <c r="E61" s="49">
        <v>31992.560000000001</v>
      </c>
      <c r="F61" s="49"/>
      <c r="G61" s="49">
        <v>0</v>
      </c>
      <c r="H61" s="49"/>
      <c r="I61" s="49">
        <v>17612.84</v>
      </c>
      <c r="J61" s="49"/>
      <c r="K61" s="49">
        <v>0</v>
      </c>
      <c r="L61" s="49"/>
      <c r="M61" s="49">
        <v>16877.25</v>
      </c>
      <c r="N61" s="49"/>
      <c r="O61" s="49">
        <v>44963.01</v>
      </c>
      <c r="P61" s="49"/>
      <c r="Q61" s="49">
        <v>48.39</v>
      </c>
      <c r="R61" s="49"/>
      <c r="S61" s="49">
        <v>4280.6499999999996</v>
      </c>
      <c r="T61" s="49"/>
      <c r="U61" s="49">
        <v>0</v>
      </c>
      <c r="V61" s="49"/>
      <c r="W61" s="49">
        <v>0</v>
      </c>
      <c r="X61" s="49"/>
      <c r="Y61" s="49">
        <v>0</v>
      </c>
      <c r="Z61" s="49"/>
      <c r="AA61" s="49">
        <v>0</v>
      </c>
      <c r="AB61" s="49"/>
      <c r="AC61" s="49">
        <v>0</v>
      </c>
      <c r="AD61" s="49"/>
      <c r="AE61" s="49">
        <v>0</v>
      </c>
      <c r="AF61" s="49"/>
      <c r="AG61" s="49">
        <v>0</v>
      </c>
      <c r="AH61" s="49"/>
      <c r="AI61" s="49">
        <f t="shared" si="3"/>
        <v>115774.7</v>
      </c>
      <c r="AJ61" s="8"/>
      <c r="AK61" s="6" t="str">
        <f>'Gen Rev'!A61</f>
        <v>Berkey</v>
      </c>
      <c r="AL61" s="6" t="str">
        <f t="shared" si="1"/>
        <v>Berkey</v>
      </c>
      <c r="AM61" s="6" t="b">
        <f t="shared" si="2"/>
        <v>1</v>
      </c>
      <c r="AN61" s="14"/>
      <c r="AO61" s="14"/>
      <c r="AP61" s="14"/>
    </row>
    <row r="62" spans="1:42" s="14" customFormat="1" ht="12" customHeight="1" x14ac:dyDescent="0.2">
      <c r="A62" s="6" t="s">
        <v>54</v>
      </c>
      <c r="B62" s="6"/>
      <c r="C62" s="6" t="s">
        <v>325</v>
      </c>
      <c r="D62" s="6"/>
      <c r="E62" s="49">
        <v>109589.77</v>
      </c>
      <c r="F62" s="49"/>
      <c r="G62" s="49">
        <v>0</v>
      </c>
      <c r="H62" s="49"/>
      <c r="I62" s="49">
        <v>83438.45</v>
      </c>
      <c r="J62" s="49"/>
      <c r="K62" s="49">
        <v>0</v>
      </c>
      <c r="L62" s="49"/>
      <c r="M62" s="49">
        <v>0</v>
      </c>
      <c r="N62" s="49"/>
      <c r="O62" s="49">
        <v>8851.98</v>
      </c>
      <c r="P62" s="49"/>
      <c r="Q62" s="49">
        <v>187.34</v>
      </c>
      <c r="R62" s="49"/>
      <c r="S62" s="49">
        <v>3484.65</v>
      </c>
      <c r="T62" s="49"/>
      <c r="U62" s="49">
        <v>0</v>
      </c>
      <c r="V62" s="49"/>
      <c r="W62" s="49">
        <v>0</v>
      </c>
      <c r="X62" s="49"/>
      <c r="Y62" s="49">
        <v>0</v>
      </c>
      <c r="Z62" s="49"/>
      <c r="AA62" s="49">
        <v>0</v>
      </c>
      <c r="AB62" s="49"/>
      <c r="AC62" s="49">
        <v>0</v>
      </c>
      <c r="AD62" s="49"/>
      <c r="AE62" s="49">
        <v>0</v>
      </c>
      <c r="AF62" s="49"/>
      <c r="AG62" s="49">
        <v>0</v>
      </c>
      <c r="AH62" s="49"/>
      <c r="AI62" s="49">
        <f t="shared" si="3"/>
        <v>205552.19</v>
      </c>
      <c r="AJ62" s="8"/>
      <c r="AK62" s="6" t="str">
        <f>'Gen Rev'!A62</f>
        <v>Berlin Heights</v>
      </c>
      <c r="AL62" s="6" t="str">
        <f t="shared" si="1"/>
        <v>Berlin Heights</v>
      </c>
      <c r="AM62" s="6" t="b">
        <f t="shared" si="2"/>
        <v>1</v>
      </c>
      <c r="AN62" s="6"/>
      <c r="AO62" s="6"/>
      <c r="AP62" s="6"/>
    </row>
    <row r="63" spans="1:42" ht="12" customHeight="1" x14ac:dyDescent="0.2">
      <c r="A63" s="6" t="s">
        <v>278</v>
      </c>
      <c r="C63" s="6" t="s">
        <v>277</v>
      </c>
      <c r="E63" s="49">
        <v>320635.96999999997</v>
      </c>
      <c r="F63" s="49"/>
      <c r="G63" s="49">
        <v>0</v>
      </c>
      <c r="H63" s="49"/>
      <c r="I63" s="49">
        <v>242854.85</v>
      </c>
      <c r="J63" s="49"/>
      <c r="K63" s="49">
        <v>0</v>
      </c>
      <c r="L63" s="49"/>
      <c r="M63" s="49">
        <v>155332.5</v>
      </c>
      <c r="N63" s="49"/>
      <c r="O63" s="49">
        <v>91417.18</v>
      </c>
      <c r="P63" s="49"/>
      <c r="Q63" s="49">
        <v>16950.16</v>
      </c>
      <c r="R63" s="49"/>
      <c r="S63" s="49">
        <v>23177.47</v>
      </c>
      <c r="T63" s="49"/>
      <c r="U63" s="49">
        <v>0</v>
      </c>
      <c r="V63" s="49"/>
      <c r="W63" s="49">
        <v>0</v>
      </c>
      <c r="X63" s="49"/>
      <c r="Y63" s="49">
        <v>1716.3</v>
      </c>
      <c r="Z63" s="49"/>
      <c r="AA63" s="49">
        <v>0</v>
      </c>
      <c r="AB63" s="49"/>
      <c r="AC63" s="49">
        <v>0</v>
      </c>
      <c r="AD63" s="49"/>
      <c r="AE63" s="49">
        <v>0</v>
      </c>
      <c r="AF63" s="49"/>
      <c r="AG63" s="49">
        <v>0</v>
      </c>
      <c r="AH63" s="49"/>
      <c r="AI63" s="49">
        <f t="shared" si="3"/>
        <v>852084.43</v>
      </c>
      <c r="AJ63" s="8"/>
      <c r="AK63" s="6" t="str">
        <f>'Gen Rev'!A63</f>
        <v>Bethel</v>
      </c>
      <c r="AL63" s="6" t="str">
        <f t="shared" si="1"/>
        <v>Bethel</v>
      </c>
      <c r="AM63" s="6" t="b">
        <f t="shared" si="2"/>
        <v>1</v>
      </c>
    </row>
    <row r="64" spans="1:42" s="14" customFormat="1" ht="12" customHeight="1" x14ac:dyDescent="0.2">
      <c r="A64" s="6" t="s">
        <v>15</v>
      </c>
      <c r="B64" s="6"/>
      <c r="C64" s="6" t="s">
        <v>261</v>
      </c>
      <c r="D64" s="6"/>
      <c r="E64" s="49">
        <v>92428.91</v>
      </c>
      <c r="F64" s="49"/>
      <c r="G64" s="49">
        <v>0</v>
      </c>
      <c r="H64" s="49"/>
      <c r="I64" s="49">
        <v>95645.08</v>
      </c>
      <c r="J64" s="49"/>
      <c r="K64" s="49">
        <v>200</v>
      </c>
      <c r="L64" s="49"/>
      <c r="M64" s="49">
        <v>316810.05</v>
      </c>
      <c r="N64" s="49"/>
      <c r="O64" s="49">
        <v>10975</v>
      </c>
      <c r="P64" s="49"/>
      <c r="Q64" s="49">
        <v>1121.02</v>
      </c>
      <c r="R64" s="49"/>
      <c r="S64" s="49">
        <v>191896.49</v>
      </c>
      <c r="T64" s="49"/>
      <c r="U64" s="49">
        <v>0</v>
      </c>
      <c r="V64" s="49"/>
      <c r="W64" s="49">
        <v>0</v>
      </c>
      <c r="X64" s="49"/>
      <c r="Y64" s="49">
        <v>0</v>
      </c>
      <c r="Z64" s="49"/>
      <c r="AA64" s="49">
        <v>10600</v>
      </c>
      <c r="AB64" s="49"/>
      <c r="AC64" s="49">
        <v>26000</v>
      </c>
      <c r="AD64" s="49"/>
      <c r="AE64" s="49">
        <v>0</v>
      </c>
      <c r="AF64" s="49"/>
      <c r="AG64" s="49">
        <v>292215.59999999998</v>
      </c>
      <c r="AH64" s="49"/>
      <c r="AI64" s="49">
        <f t="shared" si="3"/>
        <v>1037892.15</v>
      </c>
      <c r="AJ64" s="8"/>
      <c r="AK64" s="6" t="str">
        <f>'Gen Rev'!A64</f>
        <v>Bethesda</v>
      </c>
      <c r="AL64" s="6" t="str">
        <f t="shared" si="1"/>
        <v>Bethesda</v>
      </c>
      <c r="AM64" s="6" t="b">
        <f t="shared" si="2"/>
        <v>1</v>
      </c>
      <c r="AN64" s="6"/>
      <c r="AO64" s="6"/>
      <c r="AP64" s="6"/>
    </row>
    <row r="65" spans="1:42" ht="12" customHeight="1" x14ac:dyDescent="0.2">
      <c r="A65" s="6" t="s">
        <v>493</v>
      </c>
      <c r="C65" s="6" t="s">
        <v>494</v>
      </c>
      <c r="E65" s="49">
        <v>60225.47</v>
      </c>
      <c r="F65" s="49"/>
      <c r="G65" s="49">
        <v>121028.61</v>
      </c>
      <c r="H65" s="49"/>
      <c r="I65" s="49">
        <v>73621.009999999995</v>
      </c>
      <c r="J65" s="49"/>
      <c r="K65" s="49">
        <v>0</v>
      </c>
      <c r="L65" s="49"/>
      <c r="M65" s="49">
        <v>71651.960000000006</v>
      </c>
      <c r="N65" s="49"/>
      <c r="O65" s="49">
        <v>22153.86</v>
      </c>
      <c r="P65" s="49"/>
      <c r="Q65" s="49">
        <v>1789.81</v>
      </c>
      <c r="R65" s="49"/>
      <c r="S65" s="49">
        <v>39372.83</v>
      </c>
      <c r="T65" s="49"/>
      <c r="U65" s="49">
        <v>0</v>
      </c>
      <c r="V65" s="49"/>
      <c r="W65" s="49">
        <v>0</v>
      </c>
      <c r="X65" s="49"/>
      <c r="Y65" s="49">
        <v>0</v>
      </c>
      <c r="Z65" s="49"/>
      <c r="AA65" s="49">
        <v>10500</v>
      </c>
      <c r="AB65" s="49"/>
      <c r="AC65" s="49">
        <v>0</v>
      </c>
      <c r="AD65" s="49"/>
      <c r="AE65" s="49">
        <v>0</v>
      </c>
      <c r="AF65" s="49"/>
      <c r="AG65" s="49">
        <v>0</v>
      </c>
      <c r="AH65" s="49"/>
      <c r="AI65" s="49">
        <f t="shared" si="3"/>
        <v>400343.55000000005</v>
      </c>
      <c r="AJ65" s="8"/>
      <c r="AK65" s="6" t="str">
        <f>'Gen Rev'!A65</f>
        <v>Bettsville</v>
      </c>
      <c r="AL65" s="6" t="str">
        <f t="shared" si="1"/>
        <v>Bettsville</v>
      </c>
      <c r="AM65" s="6" t="b">
        <f t="shared" si="2"/>
        <v>1</v>
      </c>
      <c r="AN65" s="12"/>
      <c r="AO65" s="12"/>
      <c r="AP65" s="12"/>
    </row>
    <row r="66" spans="1:42" ht="12" customHeight="1" x14ac:dyDescent="0.2">
      <c r="A66" s="6" t="s">
        <v>544</v>
      </c>
      <c r="C66" s="6" t="s">
        <v>545</v>
      </c>
      <c r="E66" s="49">
        <v>49421.18</v>
      </c>
      <c r="F66" s="49"/>
      <c r="G66" s="49">
        <v>285037</v>
      </c>
      <c r="H66" s="49"/>
      <c r="I66" s="49">
        <v>272930.32</v>
      </c>
      <c r="J66" s="49"/>
      <c r="K66" s="49">
        <v>0</v>
      </c>
      <c r="L66" s="49"/>
      <c r="M66" s="49">
        <v>150550.69</v>
      </c>
      <c r="N66" s="49"/>
      <c r="O66" s="49">
        <v>15714</v>
      </c>
      <c r="P66" s="49"/>
      <c r="Q66" s="49">
        <v>6053.5</v>
      </c>
      <c r="R66" s="49"/>
      <c r="S66" s="49">
        <v>24509.32</v>
      </c>
      <c r="T66" s="49"/>
      <c r="U66" s="49">
        <v>0</v>
      </c>
      <c r="V66" s="49"/>
      <c r="W66" s="49">
        <v>0</v>
      </c>
      <c r="X66" s="49"/>
      <c r="Y66" s="49">
        <v>0</v>
      </c>
      <c r="Z66" s="49"/>
      <c r="AA66" s="49">
        <v>273425.88</v>
      </c>
      <c r="AB66" s="49"/>
      <c r="AC66" s="49">
        <v>0</v>
      </c>
      <c r="AD66" s="49"/>
      <c r="AE66" s="49">
        <v>0</v>
      </c>
      <c r="AF66" s="49"/>
      <c r="AG66" s="49">
        <v>0</v>
      </c>
      <c r="AH66" s="49"/>
      <c r="AI66" s="49">
        <f t="shared" si="3"/>
        <v>1077641.8899999999</v>
      </c>
      <c r="AJ66" s="8"/>
      <c r="AK66" s="6" t="str">
        <f>'Gen Rev'!A66</f>
        <v>Beverly</v>
      </c>
      <c r="AL66" s="6" t="str">
        <f t="shared" si="1"/>
        <v>Beverly</v>
      </c>
      <c r="AM66" s="6" t="b">
        <f t="shared" si="2"/>
        <v>1</v>
      </c>
    </row>
    <row r="67" spans="1:42" ht="12" customHeight="1" x14ac:dyDescent="0.2">
      <c r="A67" s="6" t="s">
        <v>234</v>
      </c>
      <c r="C67" s="6" t="s">
        <v>554</v>
      </c>
      <c r="E67" s="49">
        <v>6224.33</v>
      </c>
      <c r="F67" s="49"/>
      <c r="G67" s="49">
        <v>0</v>
      </c>
      <c r="H67" s="49"/>
      <c r="I67" s="49">
        <v>17295.43</v>
      </c>
      <c r="J67" s="49"/>
      <c r="K67" s="49">
        <v>119.56</v>
      </c>
      <c r="L67" s="49"/>
      <c r="M67" s="49">
        <v>0</v>
      </c>
      <c r="N67" s="49"/>
      <c r="O67" s="49">
        <v>2253</v>
      </c>
      <c r="P67" s="49"/>
      <c r="Q67" s="49">
        <v>346.66</v>
      </c>
      <c r="R67" s="49"/>
      <c r="S67" s="49">
        <v>4159.32</v>
      </c>
      <c r="T67" s="49"/>
      <c r="U67" s="49">
        <v>0</v>
      </c>
      <c r="V67" s="49"/>
      <c r="W67" s="49">
        <v>0</v>
      </c>
      <c r="X67" s="49"/>
      <c r="Y67" s="49">
        <v>0</v>
      </c>
      <c r="Z67" s="49"/>
      <c r="AA67" s="49">
        <v>0</v>
      </c>
      <c r="AB67" s="49"/>
      <c r="AC67" s="49">
        <v>0</v>
      </c>
      <c r="AD67" s="49"/>
      <c r="AE67" s="49">
        <v>0</v>
      </c>
      <c r="AF67" s="49"/>
      <c r="AG67" s="49">
        <v>0</v>
      </c>
      <c r="AH67" s="49"/>
      <c r="AI67" s="49">
        <f t="shared" si="3"/>
        <v>30398.300000000003</v>
      </c>
      <c r="AJ67" s="8"/>
      <c r="AK67" s="6" t="str">
        <f>'Gen Rev'!A67</f>
        <v>Blakeslee</v>
      </c>
      <c r="AL67" s="6" t="str">
        <f t="shared" si="1"/>
        <v>Blakeslee</v>
      </c>
      <c r="AM67" s="6" t="b">
        <f t="shared" si="2"/>
        <v>1</v>
      </c>
      <c r="AN67" s="14"/>
      <c r="AO67" s="14"/>
      <c r="AP67" s="14"/>
    </row>
    <row r="68" spans="1:42" s="14" customFormat="1" ht="12" customHeight="1" x14ac:dyDescent="0.2">
      <c r="A68" s="6" t="s">
        <v>789</v>
      </c>
      <c r="B68" s="6"/>
      <c r="C68" s="6" t="s">
        <v>280</v>
      </c>
      <c r="D68" s="6"/>
      <c r="E68" s="49">
        <v>523419</v>
      </c>
      <c r="F68" s="49"/>
      <c r="G68" s="49">
        <v>0</v>
      </c>
      <c r="H68" s="49"/>
      <c r="I68" s="49">
        <v>583934</v>
      </c>
      <c r="J68" s="49"/>
      <c r="K68" s="49">
        <v>2338</v>
      </c>
      <c r="L68" s="49"/>
      <c r="M68" s="49">
        <v>4359</v>
      </c>
      <c r="N68" s="49"/>
      <c r="O68" s="49">
        <v>57208</v>
      </c>
      <c r="P68" s="49"/>
      <c r="Q68" s="49">
        <v>72962</v>
      </c>
      <c r="R68" s="49"/>
      <c r="S68" s="49">
        <v>1394096</v>
      </c>
      <c r="T68" s="49"/>
      <c r="U68" s="49">
        <v>0</v>
      </c>
      <c r="V68" s="49"/>
      <c r="W68" s="49">
        <v>3514683</v>
      </c>
      <c r="X68" s="49"/>
      <c r="Y68" s="49">
        <v>0</v>
      </c>
      <c r="Z68" s="49"/>
      <c r="AA68" s="49">
        <v>411388</v>
      </c>
      <c r="AB68" s="49"/>
      <c r="AC68" s="49">
        <v>22297</v>
      </c>
      <c r="AD68" s="49"/>
      <c r="AE68" s="49">
        <v>0</v>
      </c>
      <c r="AF68" s="49"/>
      <c r="AG68" s="49">
        <v>0</v>
      </c>
      <c r="AH68" s="49"/>
      <c r="AI68" s="49">
        <f t="shared" si="3"/>
        <v>6586684</v>
      </c>
      <c r="AJ68" s="8"/>
      <c r="AK68" s="6" t="str">
        <f>'Gen Rev'!A68</f>
        <v>Blanchester</v>
      </c>
      <c r="AL68" s="6" t="str">
        <f t="shared" si="1"/>
        <v>Blanchester</v>
      </c>
      <c r="AM68" s="6" t="b">
        <f t="shared" si="2"/>
        <v>1</v>
      </c>
    </row>
    <row r="69" spans="1:42" s="39" customFormat="1" ht="12" customHeight="1" x14ac:dyDescent="0.2">
      <c r="A69" s="6" t="s">
        <v>559</v>
      </c>
      <c r="B69" s="6"/>
      <c r="C69" s="6" t="s">
        <v>558</v>
      </c>
      <c r="D69" s="6"/>
      <c r="E69" s="49">
        <v>28370</v>
      </c>
      <c r="F69" s="49"/>
      <c r="G69" s="49">
        <v>86091</v>
      </c>
      <c r="H69" s="49"/>
      <c r="I69" s="49">
        <v>69656</v>
      </c>
      <c r="J69" s="49"/>
      <c r="K69" s="49">
        <v>0</v>
      </c>
      <c r="L69" s="49"/>
      <c r="M69" s="49">
        <v>40494</v>
      </c>
      <c r="N69" s="49"/>
      <c r="O69" s="49">
        <v>3239</v>
      </c>
      <c r="P69" s="49"/>
      <c r="Q69" s="49">
        <v>565</v>
      </c>
      <c r="R69" s="49"/>
      <c r="S69" s="49">
        <v>22283</v>
      </c>
      <c r="T69" s="49"/>
      <c r="U69" s="49">
        <v>0</v>
      </c>
      <c r="V69" s="49"/>
      <c r="W69" s="49">
        <v>0</v>
      </c>
      <c r="X69" s="49"/>
      <c r="Y69" s="49">
        <v>0</v>
      </c>
      <c r="Z69" s="49"/>
      <c r="AA69" s="49">
        <v>0</v>
      </c>
      <c r="AB69" s="49"/>
      <c r="AC69" s="49">
        <v>32715</v>
      </c>
      <c r="AD69" s="49"/>
      <c r="AE69" s="49">
        <v>0</v>
      </c>
      <c r="AF69" s="49"/>
      <c r="AG69" s="49">
        <v>0</v>
      </c>
      <c r="AH69" s="49"/>
      <c r="AI69" s="49">
        <f t="shared" si="3"/>
        <v>283413</v>
      </c>
      <c r="AJ69" s="8"/>
      <c r="AK69" s="6" t="str">
        <f>'Gen Rev'!A69</f>
        <v>Bloomdale</v>
      </c>
      <c r="AL69" s="6" t="str">
        <f t="shared" si="1"/>
        <v>Bloomdale</v>
      </c>
      <c r="AM69" s="6" t="b">
        <f t="shared" si="2"/>
        <v>1</v>
      </c>
      <c r="AN69" s="14"/>
      <c r="AO69" s="14"/>
      <c r="AP69" s="14"/>
    </row>
    <row r="70" spans="1:42" ht="12" customHeight="1" x14ac:dyDescent="0.2">
      <c r="A70" s="6" t="s">
        <v>63</v>
      </c>
      <c r="C70" s="6" t="s">
        <v>334</v>
      </c>
      <c r="E70" s="49">
        <v>46788.480000000003</v>
      </c>
      <c r="F70" s="49"/>
      <c r="G70" s="49">
        <v>0</v>
      </c>
      <c r="H70" s="49"/>
      <c r="I70" s="49">
        <v>66104.53</v>
      </c>
      <c r="J70" s="49"/>
      <c r="K70" s="49">
        <v>0</v>
      </c>
      <c r="L70" s="49"/>
      <c r="M70" s="49">
        <v>11842.23</v>
      </c>
      <c r="N70" s="49"/>
      <c r="O70" s="49">
        <v>7204.63</v>
      </c>
      <c r="P70" s="49"/>
      <c r="Q70" s="49">
        <v>1138.3699999999999</v>
      </c>
      <c r="R70" s="49"/>
      <c r="S70" s="49">
        <v>25203.23</v>
      </c>
      <c r="T70" s="49"/>
      <c r="U70" s="49">
        <v>0</v>
      </c>
      <c r="V70" s="49"/>
      <c r="W70" s="49">
        <v>0</v>
      </c>
      <c r="X70" s="49"/>
      <c r="Y70" s="49">
        <v>0</v>
      </c>
      <c r="Z70" s="49"/>
      <c r="AA70" s="49">
        <v>600</v>
      </c>
      <c r="AB70" s="49"/>
      <c r="AC70" s="49">
        <v>0</v>
      </c>
      <c r="AD70" s="49"/>
      <c r="AE70" s="49">
        <v>0</v>
      </c>
      <c r="AF70" s="49"/>
      <c r="AG70" s="49">
        <v>0</v>
      </c>
      <c r="AH70" s="49"/>
      <c r="AI70" s="49">
        <f t="shared" si="3"/>
        <v>158881.47</v>
      </c>
      <c r="AJ70" s="8"/>
      <c r="AK70" s="6" t="str">
        <f>'Gen Rev'!A70</f>
        <v>Bloomingburg</v>
      </c>
      <c r="AL70" s="6" t="str">
        <f t="shared" si="1"/>
        <v>Bloomingburg</v>
      </c>
      <c r="AM70" s="6" t="b">
        <f t="shared" si="2"/>
        <v>1</v>
      </c>
      <c r="AN70" s="12"/>
      <c r="AO70" s="12"/>
      <c r="AP70" s="12"/>
    </row>
    <row r="71" spans="1:42" s="12" customFormat="1" ht="12" customHeight="1" x14ac:dyDescent="0.2">
      <c r="A71" s="6" t="s">
        <v>110</v>
      </c>
      <c r="B71" s="6"/>
      <c r="C71" s="6" t="s">
        <v>390</v>
      </c>
      <c r="D71" s="6"/>
      <c r="E71" s="49">
        <v>8101.67</v>
      </c>
      <c r="F71" s="49"/>
      <c r="G71" s="49">
        <v>17245.599999999999</v>
      </c>
      <c r="H71" s="49"/>
      <c r="I71" s="49">
        <v>15214.61</v>
      </c>
      <c r="J71" s="49"/>
      <c r="K71" s="49">
        <v>0</v>
      </c>
      <c r="L71" s="49"/>
      <c r="M71" s="49">
        <v>0</v>
      </c>
      <c r="N71" s="49"/>
      <c r="O71" s="49">
        <v>630.77</v>
      </c>
      <c r="P71" s="49"/>
      <c r="Q71" s="49">
        <v>0</v>
      </c>
      <c r="R71" s="49"/>
      <c r="S71" s="49">
        <v>2800.57</v>
      </c>
      <c r="T71" s="49"/>
      <c r="U71" s="49">
        <v>0</v>
      </c>
      <c r="V71" s="49"/>
      <c r="W71" s="49">
        <v>0</v>
      </c>
      <c r="X71" s="49"/>
      <c r="Y71" s="49">
        <v>0</v>
      </c>
      <c r="Z71" s="49"/>
      <c r="AA71" s="49">
        <v>0</v>
      </c>
      <c r="AB71" s="49"/>
      <c r="AC71" s="49">
        <v>0</v>
      </c>
      <c r="AD71" s="49"/>
      <c r="AE71" s="49">
        <v>0</v>
      </c>
      <c r="AF71" s="49"/>
      <c r="AG71" s="49">
        <v>0</v>
      </c>
      <c r="AH71" s="49"/>
      <c r="AI71" s="49">
        <f t="shared" si="3"/>
        <v>43993.219999999994</v>
      </c>
      <c r="AJ71" s="8"/>
      <c r="AK71" s="6" t="str">
        <f>'Gen Rev'!A71</f>
        <v>Bloomingdale</v>
      </c>
      <c r="AL71" s="6" t="str">
        <f t="shared" si="1"/>
        <v>Bloomingdale</v>
      </c>
      <c r="AM71" s="6" t="b">
        <f t="shared" si="2"/>
        <v>1</v>
      </c>
      <c r="AN71" s="14"/>
      <c r="AO71" s="14"/>
      <c r="AP71" s="14"/>
    </row>
    <row r="72" spans="1:42" s="14" customFormat="1" ht="12" customHeight="1" x14ac:dyDescent="0.2">
      <c r="A72" s="6" t="s">
        <v>495</v>
      </c>
      <c r="B72" s="6"/>
      <c r="C72" s="6" t="s">
        <v>494</v>
      </c>
      <c r="D72" s="6"/>
      <c r="E72" s="49">
        <v>50166</v>
      </c>
      <c r="F72" s="49"/>
      <c r="G72" s="49">
        <v>0</v>
      </c>
      <c r="H72" s="49"/>
      <c r="I72" s="49">
        <v>87634</v>
      </c>
      <c r="J72" s="49"/>
      <c r="K72" s="49">
        <v>0</v>
      </c>
      <c r="L72" s="49"/>
      <c r="M72" s="49">
        <v>2561</v>
      </c>
      <c r="N72" s="49"/>
      <c r="O72" s="49">
        <v>6920</v>
      </c>
      <c r="P72" s="49"/>
      <c r="Q72" s="49">
        <v>1653</v>
      </c>
      <c r="R72" s="49"/>
      <c r="S72" s="49">
        <v>10931</v>
      </c>
      <c r="T72" s="49"/>
      <c r="U72" s="49">
        <v>0</v>
      </c>
      <c r="V72" s="49"/>
      <c r="W72" s="49">
        <v>0</v>
      </c>
      <c r="X72" s="49"/>
      <c r="Y72" s="49">
        <v>0</v>
      </c>
      <c r="Z72" s="49"/>
      <c r="AA72" s="49">
        <v>36000</v>
      </c>
      <c r="AB72" s="49"/>
      <c r="AC72" s="49">
        <v>0</v>
      </c>
      <c r="AD72" s="49"/>
      <c r="AE72" s="49">
        <v>0</v>
      </c>
      <c r="AF72" s="49"/>
      <c r="AG72" s="49">
        <v>0</v>
      </c>
      <c r="AH72" s="49"/>
      <c r="AI72" s="49">
        <f t="shared" si="3"/>
        <v>195865</v>
      </c>
      <c r="AJ72" s="8"/>
      <c r="AK72" s="6" t="str">
        <f>'Gen Rev'!A72</f>
        <v>Bloomville</v>
      </c>
      <c r="AL72" s="6" t="str">
        <f t="shared" si="1"/>
        <v>Bloomville</v>
      </c>
      <c r="AM72" s="6" t="b">
        <f t="shared" si="2"/>
        <v>1</v>
      </c>
      <c r="AN72" s="13"/>
      <c r="AO72" s="13"/>
      <c r="AP72" s="13"/>
    </row>
    <row r="73" spans="1:42" s="14" customFormat="1" ht="12" customHeight="1" x14ac:dyDescent="0.2">
      <c r="A73" s="6"/>
      <c r="B73" s="6"/>
      <c r="C73" s="6"/>
      <c r="D73" s="6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8"/>
      <c r="AK73" s="6"/>
      <c r="AL73" s="6"/>
      <c r="AM73" s="6"/>
      <c r="AN73" s="13"/>
      <c r="AO73" s="13"/>
      <c r="AP73" s="13"/>
    </row>
    <row r="74" spans="1:42" s="14" customFormat="1" ht="12" customHeight="1" x14ac:dyDescent="0.2">
      <c r="A74" s="6"/>
      <c r="B74" s="6"/>
      <c r="C74" s="6"/>
      <c r="D74" s="6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88" t="s">
        <v>733</v>
      </c>
      <c r="AJ74" s="8"/>
      <c r="AK74" s="6"/>
      <c r="AL74" s="6"/>
      <c r="AM74" s="6"/>
      <c r="AN74" s="13"/>
      <c r="AO74" s="13"/>
      <c r="AP74" s="13"/>
    </row>
    <row r="75" spans="1:42" s="14" customFormat="1" ht="12" customHeight="1" x14ac:dyDescent="0.2">
      <c r="A75" s="6"/>
      <c r="B75" s="6"/>
      <c r="C75" s="6"/>
      <c r="D75" s="6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8"/>
      <c r="AK75" s="6"/>
      <c r="AL75" s="6"/>
      <c r="AM75" s="6"/>
      <c r="AN75" s="13"/>
      <c r="AO75" s="13"/>
      <c r="AP75" s="13"/>
    </row>
    <row r="76" spans="1:42" ht="12" customHeight="1" x14ac:dyDescent="0.2">
      <c r="A76" s="6" t="s">
        <v>633</v>
      </c>
      <c r="C76" s="6" t="s">
        <v>651</v>
      </c>
      <c r="E76" s="52">
        <v>187892</v>
      </c>
      <c r="F76" s="52"/>
      <c r="G76" s="52">
        <v>1835425</v>
      </c>
      <c r="H76" s="52"/>
      <c r="I76" s="52">
        <v>430659</v>
      </c>
      <c r="J76" s="52"/>
      <c r="K76" s="52">
        <v>6627</v>
      </c>
      <c r="L76" s="52"/>
      <c r="M76" s="52">
        <v>324733</v>
      </c>
      <c r="N76" s="52"/>
      <c r="O76" s="52">
        <v>41670</v>
      </c>
      <c r="P76" s="52"/>
      <c r="Q76" s="52">
        <v>2478</v>
      </c>
      <c r="R76" s="52"/>
      <c r="S76" s="52">
        <f>12365+70380</f>
        <v>82745</v>
      </c>
      <c r="T76" s="52"/>
      <c r="U76" s="52">
        <v>0</v>
      </c>
      <c r="V76" s="52"/>
      <c r="W76" s="52">
        <v>61058</v>
      </c>
      <c r="X76" s="52"/>
      <c r="Y76" s="52">
        <v>0</v>
      </c>
      <c r="Z76" s="52"/>
      <c r="AA76" s="52">
        <v>662517</v>
      </c>
      <c r="AB76" s="52"/>
      <c r="AC76" s="52">
        <v>250000</v>
      </c>
      <c r="AD76" s="52"/>
      <c r="AE76" s="52">
        <v>0</v>
      </c>
      <c r="AF76" s="52"/>
      <c r="AG76" s="52">
        <v>0</v>
      </c>
      <c r="AH76" s="49"/>
      <c r="AI76" s="52">
        <f t="shared" si="3"/>
        <v>3885804</v>
      </c>
      <c r="AJ76" s="8"/>
      <c r="AK76" s="6" t="str">
        <f>'Gen Rev'!A76</f>
        <v>Bluffton</v>
      </c>
      <c r="AL76" s="6" t="str">
        <f t="shared" ref="AL76:AL139" si="4">A76</f>
        <v>Bluffton</v>
      </c>
      <c r="AM76" s="6" t="b">
        <f t="shared" ref="AM76:AM139" si="5">AK76=AL76</f>
        <v>1</v>
      </c>
      <c r="AN76" s="14"/>
      <c r="AO76" s="14"/>
      <c r="AP76" s="14"/>
    </row>
    <row r="77" spans="1:42" ht="12" customHeight="1" x14ac:dyDescent="0.2">
      <c r="A77" s="6" t="s">
        <v>523</v>
      </c>
      <c r="C77" s="6" t="s">
        <v>521</v>
      </c>
      <c r="E77" s="49">
        <v>157534.67000000001</v>
      </c>
      <c r="F77" s="49"/>
      <c r="G77" s="49">
        <v>146205.29999999999</v>
      </c>
      <c r="H77" s="49"/>
      <c r="I77" s="49">
        <v>458160.49</v>
      </c>
      <c r="J77" s="49"/>
      <c r="K77" s="49">
        <v>233.71</v>
      </c>
      <c r="L77" s="49"/>
      <c r="M77" s="49">
        <v>50308</v>
      </c>
      <c r="N77" s="49"/>
      <c r="O77" s="49">
        <v>18705.900000000001</v>
      </c>
      <c r="P77" s="49"/>
      <c r="Q77" s="49">
        <v>111.55</v>
      </c>
      <c r="R77" s="49"/>
      <c r="S77" s="49">
        <v>2779.22</v>
      </c>
      <c r="T77" s="49"/>
      <c r="U77" s="49">
        <v>0</v>
      </c>
      <c r="V77" s="49"/>
      <c r="W77" s="49">
        <v>0</v>
      </c>
      <c r="X77" s="49"/>
      <c r="Y77" s="49">
        <v>0</v>
      </c>
      <c r="Z77" s="49"/>
      <c r="AA77" s="49">
        <v>107957.88</v>
      </c>
      <c r="AB77" s="49"/>
      <c r="AC77" s="49">
        <v>0</v>
      </c>
      <c r="AD77" s="49"/>
      <c r="AE77" s="49">
        <v>13.4</v>
      </c>
      <c r="AF77" s="49"/>
      <c r="AG77" s="49">
        <v>0</v>
      </c>
      <c r="AH77" s="49"/>
      <c r="AI77" s="49">
        <f t="shared" si="3"/>
        <v>942010.12</v>
      </c>
      <c r="AJ77" s="8"/>
      <c r="AK77" s="6" t="str">
        <f>'Gen Rev'!A77</f>
        <v>Bolivar</v>
      </c>
      <c r="AL77" s="6" t="str">
        <f t="shared" si="4"/>
        <v>Bolivar</v>
      </c>
      <c r="AM77" s="6" t="b">
        <f t="shared" si="5"/>
        <v>1</v>
      </c>
      <c r="AN77" s="14"/>
      <c r="AO77" s="14"/>
      <c r="AP77" s="14"/>
    </row>
    <row r="78" spans="1:42" s="14" customFormat="1" ht="12" customHeight="1" x14ac:dyDescent="0.2">
      <c r="A78" s="6" t="s">
        <v>510</v>
      </c>
      <c r="B78" s="6"/>
      <c r="C78" s="6" t="s">
        <v>511</v>
      </c>
      <c r="D78" s="6"/>
      <c r="E78" s="49">
        <f>372136+84145</f>
        <v>456281</v>
      </c>
      <c r="F78" s="49"/>
      <c r="G78" s="49">
        <v>1337394</v>
      </c>
      <c r="H78" s="49"/>
      <c r="I78" s="49">
        <f>189684+341938</f>
        <v>531622</v>
      </c>
      <c r="J78" s="49"/>
      <c r="K78" s="49">
        <v>0</v>
      </c>
      <c r="L78" s="49"/>
      <c r="M78" s="49">
        <v>16528</v>
      </c>
      <c r="N78" s="49"/>
      <c r="O78" s="49">
        <f>20533+271634</f>
        <v>292167</v>
      </c>
      <c r="P78" s="49"/>
      <c r="Q78" s="49">
        <v>30</v>
      </c>
      <c r="R78" s="49"/>
      <c r="S78" s="49">
        <f>539235+27518</f>
        <v>566753</v>
      </c>
      <c r="T78" s="49"/>
      <c r="U78" s="49">
        <v>0</v>
      </c>
      <c r="V78" s="49"/>
      <c r="W78" s="49">
        <v>0</v>
      </c>
      <c r="X78" s="49"/>
      <c r="Y78" s="49">
        <v>0</v>
      </c>
      <c r="Z78" s="49"/>
      <c r="AA78" s="49">
        <v>2279</v>
      </c>
      <c r="AB78" s="49"/>
      <c r="AC78" s="49">
        <v>0</v>
      </c>
      <c r="AD78" s="49"/>
      <c r="AE78" s="49">
        <v>1300</v>
      </c>
      <c r="AF78" s="49"/>
      <c r="AG78" s="49">
        <v>0</v>
      </c>
      <c r="AH78" s="49"/>
      <c r="AI78" s="49">
        <f t="shared" ref="AI78:AI144" si="6">SUM(E78:AG78)</f>
        <v>3204354</v>
      </c>
      <c r="AJ78" s="8"/>
      <c r="AK78" s="6" t="str">
        <f>'Gen Rev'!A78</f>
        <v>Boston Heights</v>
      </c>
      <c r="AL78" s="6" t="str">
        <f t="shared" si="4"/>
        <v>Boston Heights</v>
      </c>
      <c r="AM78" s="6" t="b">
        <f t="shared" si="5"/>
        <v>1</v>
      </c>
      <c r="AN78" s="6"/>
      <c r="AO78" s="6"/>
      <c r="AP78" s="6"/>
    </row>
    <row r="79" spans="1:42" ht="12" customHeight="1" x14ac:dyDescent="0.2">
      <c r="A79" s="8" t="s">
        <v>497</v>
      </c>
      <c r="B79" s="8"/>
      <c r="C79" s="8" t="s">
        <v>498</v>
      </c>
      <c r="D79" s="8"/>
      <c r="E79" s="49">
        <v>35799</v>
      </c>
      <c r="F79" s="49"/>
      <c r="G79" s="49">
        <v>694526</v>
      </c>
      <c r="H79" s="49"/>
      <c r="I79" s="49">
        <v>142458</v>
      </c>
      <c r="J79" s="49"/>
      <c r="K79" s="49">
        <v>84</v>
      </c>
      <c r="L79" s="49"/>
      <c r="M79" s="49">
        <v>47934</v>
      </c>
      <c r="N79" s="49"/>
      <c r="O79" s="49">
        <v>13410</v>
      </c>
      <c r="P79" s="49"/>
      <c r="Q79" s="49">
        <v>6076</v>
      </c>
      <c r="R79" s="49"/>
      <c r="S79" s="49">
        <v>220624</v>
      </c>
      <c r="T79" s="49"/>
      <c r="U79" s="49">
        <v>0</v>
      </c>
      <c r="V79" s="49"/>
      <c r="W79" s="49">
        <v>0</v>
      </c>
      <c r="X79" s="49"/>
      <c r="Y79" s="49">
        <v>0</v>
      </c>
      <c r="Z79" s="49"/>
      <c r="AA79" s="49">
        <v>0</v>
      </c>
      <c r="AB79" s="49"/>
      <c r="AC79" s="49">
        <v>0</v>
      </c>
      <c r="AD79" s="49"/>
      <c r="AE79" s="49">
        <v>0</v>
      </c>
      <c r="AF79" s="49"/>
      <c r="AG79" s="49">
        <v>0</v>
      </c>
      <c r="AH79" s="49"/>
      <c r="AI79" s="49">
        <f t="shared" si="6"/>
        <v>1160911</v>
      </c>
      <c r="AJ79" s="8"/>
      <c r="AK79" s="6" t="str">
        <f>'Gen Rev'!A79</f>
        <v>Botkins</v>
      </c>
      <c r="AL79" s="6" t="str">
        <f t="shared" si="4"/>
        <v>Botkins</v>
      </c>
      <c r="AM79" s="6" t="b">
        <f t="shared" si="5"/>
        <v>1</v>
      </c>
    </row>
    <row r="80" spans="1:42" ht="12" customHeight="1" x14ac:dyDescent="0.2">
      <c r="A80" s="6" t="s">
        <v>372</v>
      </c>
      <c r="C80" s="6" t="s">
        <v>373</v>
      </c>
      <c r="E80" s="49">
        <v>15688.62</v>
      </c>
      <c r="F80" s="49"/>
      <c r="G80" s="49">
        <v>59196.81</v>
      </c>
      <c r="H80" s="49"/>
      <c r="I80" s="49">
        <v>32398.45</v>
      </c>
      <c r="J80" s="49"/>
      <c r="K80" s="49">
        <v>0</v>
      </c>
      <c r="L80" s="49"/>
      <c r="M80" s="49">
        <v>1400</v>
      </c>
      <c r="N80" s="49"/>
      <c r="O80" s="49">
        <v>1605</v>
      </c>
      <c r="P80" s="49"/>
      <c r="Q80" s="49">
        <v>174.94</v>
      </c>
      <c r="R80" s="49"/>
      <c r="S80" s="49">
        <v>9571.02</v>
      </c>
      <c r="T80" s="49"/>
      <c r="U80" s="49">
        <v>0</v>
      </c>
      <c r="V80" s="49"/>
      <c r="W80" s="49">
        <v>0</v>
      </c>
      <c r="X80" s="49"/>
      <c r="Y80" s="49">
        <v>0</v>
      </c>
      <c r="Z80" s="49"/>
      <c r="AA80" s="49">
        <v>0</v>
      </c>
      <c r="AB80" s="49"/>
      <c r="AC80" s="49">
        <v>0</v>
      </c>
      <c r="AD80" s="49"/>
      <c r="AE80" s="49">
        <v>0</v>
      </c>
      <c r="AF80" s="49"/>
      <c r="AG80" s="49">
        <v>1031.1400000000001</v>
      </c>
      <c r="AH80" s="49"/>
      <c r="AI80" s="49">
        <f t="shared" si="6"/>
        <v>121065.98</v>
      </c>
      <c r="AJ80" s="8"/>
      <c r="AK80" s="6" t="str">
        <f>'Gen Rev'!A80</f>
        <v>Bowerston</v>
      </c>
      <c r="AL80" s="6" t="str">
        <f t="shared" si="4"/>
        <v>Bowerston</v>
      </c>
      <c r="AM80" s="6" t="b">
        <f t="shared" si="5"/>
        <v>1</v>
      </c>
    </row>
    <row r="81" spans="1:42" ht="12" customHeight="1" x14ac:dyDescent="0.2">
      <c r="A81" s="6" t="s">
        <v>78</v>
      </c>
      <c r="C81" s="6" t="s">
        <v>345</v>
      </c>
      <c r="E81" s="49">
        <v>29847.96</v>
      </c>
      <c r="F81" s="49"/>
      <c r="G81" s="49">
        <v>0</v>
      </c>
      <c r="H81" s="49"/>
      <c r="I81" s="49">
        <v>20500.599999999999</v>
      </c>
      <c r="J81" s="49"/>
      <c r="K81" s="49">
        <v>0</v>
      </c>
      <c r="L81" s="49"/>
      <c r="M81" s="49">
        <v>0</v>
      </c>
      <c r="N81" s="49"/>
      <c r="O81" s="49">
        <v>0</v>
      </c>
      <c r="P81" s="49"/>
      <c r="Q81" s="49">
        <v>38.1</v>
      </c>
      <c r="R81" s="49"/>
      <c r="S81" s="49">
        <v>1009.7</v>
      </c>
      <c r="T81" s="49"/>
      <c r="U81" s="49">
        <v>0</v>
      </c>
      <c r="V81" s="49"/>
      <c r="W81" s="49">
        <v>0</v>
      </c>
      <c r="X81" s="49"/>
      <c r="Y81" s="49">
        <v>0</v>
      </c>
      <c r="Z81" s="49"/>
      <c r="AA81" s="49">
        <v>0</v>
      </c>
      <c r="AB81" s="49"/>
      <c r="AC81" s="49">
        <v>0</v>
      </c>
      <c r="AD81" s="49"/>
      <c r="AE81" s="49">
        <v>0</v>
      </c>
      <c r="AF81" s="49"/>
      <c r="AG81" s="49">
        <v>0</v>
      </c>
      <c r="AH81" s="49"/>
      <c r="AI81" s="49">
        <f t="shared" si="6"/>
        <v>51396.359999999993</v>
      </c>
      <c r="AJ81" s="8"/>
      <c r="AK81" s="6" t="str">
        <f>'Gen Rev'!A81</f>
        <v>Bowersville</v>
      </c>
      <c r="AL81" s="6" t="str">
        <f t="shared" si="4"/>
        <v>Bowersville</v>
      </c>
      <c r="AM81" s="6" t="b">
        <f t="shared" si="5"/>
        <v>1</v>
      </c>
    </row>
    <row r="82" spans="1:42" s="14" customFormat="1" ht="12" customHeight="1" x14ac:dyDescent="0.2">
      <c r="A82" s="6" t="s">
        <v>436</v>
      </c>
      <c r="B82" s="6"/>
      <c r="C82" s="6" t="s">
        <v>781</v>
      </c>
      <c r="D82" s="6"/>
      <c r="E82" s="49">
        <f>24207+155906</f>
        <v>180113</v>
      </c>
      <c r="F82" s="49"/>
      <c r="G82" s="49">
        <v>137085</v>
      </c>
      <c r="H82" s="49"/>
      <c r="I82" s="49">
        <f>62783+120008</f>
        <v>182791</v>
      </c>
      <c r="J82" s="49"/>
      <c r="K82" s="49">
        <v>43885</v>
      </c>
      <c r="L82" s="49"/>
      <c r="M82" s="49">
        <v>0</v>
      </c>
      <c r="N82" s="49"/>
      <c r="O82" s="49">
        <v>19377</v>
      </c>
      <c r="P82" s="49"/>
      <c r="Q82" s="49">
        <v>965</v>
      </c>
      <c r="R82" s="49"/>
      <c r="S82" s="49">
        <f>2462+5150</f>
        <v>7612</v>
      </c>
      <c r="T82" s="49"/>
      <c r="U82" s="49">
        <v>0</v>
      </c>
      <c r="V82" s="49"/>
      <c r="W82" s="49">
        <v>0</v>
      </c>
      <c r="X82" s="49"/>
      <c r="Y82" s="49">
        <v>59622</v>
      </c>
      <c r="Z82" s="49"/>
      <c r="AA82" s="49">
        <v>8102</v>
      </c>
      <c r="AB82" s="49"/>
      <c r="AC82" s="49">
        <v>0</v>
      </c>
      <c r="AD82" s="49"/>
      <c r="AE82" s="49">
        <v>0</v>
      </c>
      <c r="AF82" s="49"/>
      <c r="AG82" s="49">
        <v>0</v>
      </c>
      <c r="AH82" s="49"/>
      <c r="AI82" s="49">
        <f t="shared" si="6"/>
        <v>639552</v>
      </c>
      <c r="AJ82" s="8"/>
      <c r="AK82" s="6" t="str">
        <f>'Gen Rev'!A82</f>
        <v>Bradford</v>
      </c>
      <c r="AL82" s="6" t="str">
        <f t="shared" si="4"/>
        <v>Bradford</v>
      </c>
      <c r="AM82" s="6" t="b">
        <f t="shared" si="5"/>
        <v>1</v>
      </c>
    </row>
    <row r="83" spans="1:42" s="14" customFormat="1" ht="12" customHeight="1" x14ac:dyDescent="0.2">
      <c r="A83" s="6" t="s">
        <v>560</v>
      </c>
      <c r="B83" s="6"/>
      <c r="C83" s="6" t="s">
        <v>558</v>
      </c>
      <c r="D83" s="6"/>
      <c r="E83" s="49">
        <v>59108</v>
      </c>
      <c r="F83" s="49"/>
      <c r="G83" s="49">
        <v>120183</v>
      </c>
      <c r="H83" s="49"/>
      <c r="I83" s="49">
        <v>100499</v>
      </c>
      <c r="J83" s="49"/>
      <c r="K83" s="49">
        <v>31336</v>
      </c>
      <c r="L83" s="49"/>
      <c r="M83" s="49">
        <v>205891</v>
      </c>
      <c r="N83" s="49"/>
      <c r="O83" s="49">
        <v>15152</v>
      </c>
      <c r="P83" s="49"/>
      <c r="Q83" s="49">
        <v>1859</v>
      </c>
      <c r="R83" s="49"/>
      <c r="S83" s="49">
        <v>18345</v>
      </c>
      <c r="T83" s="49"/>
      <c r="U83" s="49">
        <v>0</v>
      </c>
      <c r="V83" s="49"/>
      <c r="W83" s="49">
        <v>0</v>
      </c>
      <c r="X83" s="49"/>
      <c r="Y83" s="49">
        <v>0</v>
      </c>
      <c r="Z83" s="49"/>
      <c r="AA83" s="49">
        <v>26507</v>
      </c>
      <c r="AB83" s="49"/>
      <c r="AC83" s="49">
        <v>23400</v>
      </c>
      <c r="AD83" s="49"/>
      <c r="AE83" s="49">
        <v>0</v>
      </c>
      <c r="AF83" s="49"/>
      <c r="AG83" s="49">
        <v>0</v>
      </c>
      <c r="AH83" s="49"/>
      <c r="AI83" s="49">
        <f t="shared" si="6"/>
        <v>602280</v>
      </c>
      <c r="AJ83" s="8"/>
      <c r="AK83" s="6" t="str">
        <f>'Gen Rev'!A83</f>
        <v>Bradner</v>
      </c>
      <c r="AL83" s="6" t="str">
        <f t="shared" si="4"/>
        <v>Bradner</v>
      </c>
      <c r="AM83" s="6" t="b">
        <f t="shared" si="5"/>
        <v>1</v>
      </c>
      <c r="AN83" s="6"/>
      <c r="AO83" s="6"/>
      <c r="AP83" s="6"/>
    </row>
    <row r="84" spans="1:42" ht="12" customHeight="1" x14ac:dyDescent="0.2">
      <c r="A84" s="6" t="s">
        <v>763</v>
      </c>
      <c r="C84" s="6" t="s">
        <v>241</v>
      </c>
      <c r="D84" s="18"/>
      <c r="E84" s="49">
        <v>38969</v>
      </c>
      <c r="F84" s="49"/>
      <c r="G84" s="49">
        <v>70153</v>
      </c>
      <c r="H84" s="49"/>
      <c r="I84" s="49">
        <v>77080</v>
      </c>
      <c r="J84" s="49"/>
      <c r="K84" s="49">
        <v>17291</v>
      </c>
      <c r="L84" s="49"/>
      <c r="M84" s="49">
        <v>0</v>
      </c>
      <c r="N84" s="49"/>
      <c r="O84" s="49">
        <f>24813+19147</f>
        <v>43960</v>
      </c>
      <c r="P84" s="49"/>
      <c r="Q84" s="49">
        <v>8</v>
      </c>
      <c r="R84" s="49"/>
      <c r="S84" s="49">
        <f>950+1375</f>
        <v>2325</v>
      </c>
      <c r="T84" s="49"/>
      <c r="U84" s="49">
        <v>0</v>
      </c>
      <c r="V84" s="49"/>
      <c r="W84" s="49">
        <v>0</v>
      </c>
      <c r="X84" s="49"/>
      <c r="Y84" s="49">
        <v>0</v>
      </c>
      <c r="Z84" s="49"/>
      <c r="AA84" s="49">
        <v>0</v>
      </c>
      <c r="AB84" s="49"/>
      <c r="AC84" s="49">
        <v>0</v>
      </c>
      <c r="AD84" s="49"/>
      <c r="AE84" s="49">
        <v>0</v>
      </c>
      <c r="AF84" s="49"/>
      <c r="AG84" s="49">
        <v>0</v>
      </c>
      <c r="AH84" s="49"/>
      <c r="AI84" s="49">
        <f t="shared" si="6"/>
        <v>249786</v>
      </c>
      <c r="AJ84" s="8"/>
      <c r="AK84" s="6" t="str">
        <f>'Gen Rev'!A84</f>
        <v>Brady Lake</v>
      </c>
      <c r="AL84" s="6" t="str">
        <f t="shared" si="4"/>
        <v>Brady Lake</v>
      </c>
      <c r="AM84" s="6" t="b">
        <f t="shared" si="5"/>
        <v>1</v>
      </c>
    </row>
    <row r="85" spans="1:42" ht="12" customHeight="1" x14ac:dyDescent="0.2">
      <c r="A85" s="6" t="s">
        <v>294</v>
      </c>
      <c r="C85" s="6" t="s">
        <v>293</v>
      </c>
      <c r="E85" s="49">
        <v>1299278.77</v>
      </c>
      <c r="F85" s="49"/>
      <c r="G85" s="49">
        <v>1955289.09</v>
      </c>
      <c r="H85" s="49"/>
      <c r="I85" s="49">
        <v>427915.84</v>
      </c>
      <c r="J85" s="49"/>
      <c r="K85" s="49">
        <v>0</v>
      </c>
      <c r="L85" s="49"/>
      <c r="M85" s="49">
        <v>15501.72</v>
      </c>
      <c r="N85" s="49"/>
      <c r="O85" s="49">
        <v>589459.04</v>
      </c>
      <c r="P85" s="49"/>
      <c r="Q85" s="49">
        <v>2396.3200000000002</v>
      </c>
      <c r="R85" s="49"/>
      <c r="S85" s="49">
        <v>188639.04</v>
      </c>
      <c r="T85" s="49"/>
      <c r="U85" s="49">
        <v>0</v>
      </c>
      <c r="V85" s="49"/>
      <c r="W85" s="49">
        <v>450000</v>
      </c>
      <c r="X85" s="49"/>
      <c r="Y85" s="49">
        <v>0</v>
      </c>
      <c r="Z85" s="49"/>
      <c r="AA85" s="49">
        <v>507249.57</v>
      </c>
      <c r="AB85" s="49"/>
      <c r="AC85" s="49">
        <v>0</v>
      </c>
      <c r="AD85" s="49"/>
      <c r="AE85" s="49">
        <v>0</v>
      </c>
      <c r="AF85" s="49"/>
      <c r="AG85" s="49">
        <v>0</v>
      </c>
      <c r="AH85" s="49"/>
      <c r="AI85" s="49">
        <f t="shared" si="6"/>
        <v>5435729.3900000015</v>
      </c>
      <c r="AJ85" s="18"/>
      <c r="AK85" s="6" t="str">
        <f>'Gen Rev'!A85</f>
        <v>Bratenahl</v>
      </c>
      <c r="AL85" s="6" t="str">
        <f t="shared" si="4"/>
        <v>Bratenahl</v>
      </c>
      <c r="AM85" s="6" t="b">
        <f t="shared" si="5"/>
        <v>1</v>
      </c>
      <c r="AN85" s="46"/>
      <c r="AO85" s="46"/>
      <c r="AP85" s="46"/>
    </row>
    <row r="86" spans="1:42" s="39" customFormat="1" ht="12" customHeight="1" x14ac:dyDescent="0.2">
      <c r="A86" s="6" t="s">
        <v>56</v>
      </c>
      <c r="B86" s="6"/>
      <c r="C86" s="6" t="s">
        <v>327</v>
      </c>
      <c r="D86" s="6"/>
      <c r="E86" s="49">
        <v>37398.36</v>
      </c>
      <c r="F86" s="49"/>
      <c r="G86" s="49">
        <v>392495.46</v>
      </c>
      <c r="H86" s="49"/>
      <c r="I86" s="49">
        <v>93944.71</v>
      </c>
      <c r="J86" s="49"/>
      <c r="K86" s="49">
        <v>0</v>
      </c>
      <c r="L86" s="49"/>
      <c r="M86" s="49">
        <v>0</v>
      </c>
      <c r="N86" s="49"/>
      <c r="O86" s="49">
        <v>8084.54</v>
      </c>
      <c r="P86" s="49"/>
      <c r="Q86" s="49">
        <v>640.84</v>
      </c>
      <c r="R86" s="49"/>
      <c r="S86" s="49">
        <v>11488.05</v>
      </c>
      <c r="T86" s="49"/>
      <c r="U86" s="49">
        <v>0</v>
      </c>
      <c r="V86" s="49"/>
      <c r="W86" s="49">
        <v>0</v>
      </c>
      <c r="X86" s="49"/>
      <c r="Y86" s="49">
        <v>0</v>
      </c>
      <c r="Z86" s="49"/>
      <c r="AA86" s="49">
        <v>110000</v>
      </c>
      <c r="AB86" s="49"/>
      <c r="AC86" s="49">
        <v>0</v>
      </c>
      <c r="AD86" s="49"/>
      <c r="AE86" s="49">
        <v>0</v>
      </c>
      <c r="AF86" s="49"/>
      <c r="AG86" s="49">
        <v>0</v>
      </c>
      <c r="AH86" s="49"/>
      <c r="AI86" s="49">
        <f t="shared" si="6"/>
        <v>654051.96000000008</v>
      </c>
      <c r="AJ86" s="8"/>
      <c r="AK86" s="6" t="str">
        <f>'Gen Rev'!A86</f>
        <v>Bremen</v>
      </c>
      <c r="AL86" s="6" t="str">
        <f t="shared" si="4"/>
        <v>Bremen</v>
      </c>
      <c r="AM86" s="6" t="b">
        <f t="shared" si="5"/>
        <v>1</v>
      </c>
      <c r="AN86" s="6"/>
      <c r="AO86" s="6"/>
      <c r="AP86" s="6"/>
    </row>
    <row r="87" spans="1:42" s="14" customFormat="1" ht="12" customHeight="1" x14ac:dyDescent="0.2">
      <c r="A87" s="6" t="s">
        <v>503</v>
      </c>
      <c r="B87" s="6"/>
      <c r="C87" s="6" t="s">
        <v>502</v>
      </c>
      <c r="D87" s="6"/>
      <c r="E87" s="49">
        <v>111627</v>
      </c>
      <c r="F87" s="49"/>
      <c r="G87" s="49">
        <v>806362</v>
      </c>
      <c r="H87" s="49"/>
      <c r="I87" s="49">
        <v>195134</v>
      </c>
      <c r="J87" s="49"/>
      <c r="K87" s="49">
        <v>6405</v>
      </c>
      <c r="L87" s="49"/>
      <c r="M87" s="49">
        <v>189858</v>
      </c>
      <c r="N87" s="49"/>
      <c r="O87" s="49">
        <v>6027</v>
      </c>
      <c r="P87" s="49"/>
      <c r="Q87" s="49">
        <v>12143</v>
      </c>
      <c r="R87" s="49"/>
      <c r="S87" s="49">
        <v>83456</v>
      </c>
      <c r="T87" s="49"/>
      <c r="U87" s="49">
        <v>0</v>
      </c>
      <c r="V87" s="49"/>
      <c r="W87" s="49">
        <v>0</v>
      </c>
      <c r="X87" s="49"/>
      <c r="Y87" s="49">
        <v>0</v>
      </c>
      <c r="Z87" s="49"/>
      <c r="AA87" s="49">
        <v>228549</v>
      </c>
      <c r="AB87" s="49"/>
      <c r="AC87" s="49">
        <v>0</v>
      </c>
      <c r="AD87" s="49"/>
      <c r="AE87" s="49">
        <v>185</v>
      </c>
      <c r="AF87" s="49"/>
      <c r="AG87" s="49">
        <v>0</v>
      </c>
      <c r="AH87" s="49"/>
      <c r="AI87" s="49">
        <f t="shared" si="6"/>
        <v>1639746</v>
      </c>
      <c r="AJ87" s="8"/>
      <c r="AK87" s="6" t="str">
        <f>'Gen Rev'!A87</f>
        <v>Brewster</v>
      </c>
      <c r="AL87" s="6" t="str">
        <f t="shared" si="4"/>
        <v>Brewster</v>
      </c>
      <c r="AM87" s="6" t="b">
        <f t="shared" si="5"/>
        <v>1</v>
      </c>
      <c r="AN87" s="12"/>
      <c r="AO87" s="12"/>
      <c r="AP87" s="12"/>
    </row>
    <row r="88" spans="1:42" s="14" customFormat="1" ht="12" customHeight="1" x14ac:dyDescent="0.2">
      <c r="A88" s="6" t="s">
        <v>67</v>
      </c>
      <c r="B88" s="6"/>
      <c r="C88" s="6" t="s">
        <v>329</v>
      </c>
      <c r="D88" s="6"/>
      <c r="E88" s="49">
        <v>8456.6200000000008</v>
      </c>
      <c r="F88" s="49"/>
      <c r="G88" s="49">
        <v>31944.86</v>
      </c>
      <c r="H88" s="49"/>
      <c r="I88" s="49">
        <v>11855.69</v>
      </c>
      <c r="J88" s="49"/>
      <c r="K88" s="49">
        <v>0</v>
      </c>
      <c r="L88" s="49"/>
      <c r="M88" s="49">
        <v>0</v>
      </c>
      <c r="N88" s="49"/>
      <c r="O88" s="49">
        <v>226273.25</v>
      </c>
      <c r="P88" s="49"/>
      <c r="Q88" s="49">
        <v>3.77</v>
      </c>
      <c r="R88" s="49"/>
      <c r="S88" s="49">
        <v>13470.67</v>
      </c>
      <c r="T88" s="49"/>
      <c r="U88" s="49">
        <v>0</v>
      </c>
      <c r="V88" s="49"/>
      <c r="W88" s="49">
        <v>0</v>
      </c>
      <c r="X88" s="49"/>
      <c r="Y88" s="49">
        <v>0</v>
      </c>
      <c r="Z88" s="49"/>
      <c r="AA88" s="49">
        <v>0</v>
      </c>
      <c r="AB88" s="49"/>
      <c r="AC88" s="49">
        <v>15597.98</v>
      </c>
      <c r="AD88" s="49"/>
      <c r="AE88" s="49">
        <v>1733.42</v>
      </c>
      <c r="AF88" s="49"/>
      <c r="AG88" s="49">
        <v>0</v>
      </c>
      <c r="AH88" s="49"/>
      <c r="AI88" s="49">
        <f t="shared" si="6"/>
        <v>309336.25999999995</v>
      </c>
      <c r="AJ88" s="8"/>
      <c r="AK88" s="6" t="str">
        <f>'Gen Rev'!A88</f>
        <v>Brice</v>
      </c>
      <c r="AL88" s="6" t="str">
        <f t="shared" si="4"/>
        <v>Brice</v>
      </c>
      <c r="AM88" s="6" t="b">
        <f t="shared" si="5"/>
        <v>1</v>
      </c>
      <c r="AN88" s="12"/>
      <c r="AO88" s="12"/>
      <c r="AP88" s="12"/>
    </row>
    <row r="89" spans="1:42" s="14" customFormat="1" ht="12" customHeight="1" x14ac:dyDescent="0.2">
      <c r="A89" s="6" t="s">
        <v>263</v>
      </c>
      <c r="B89" s="6"/>
      <c r="C89" s="6" t="s">
        <v>261</v>
      </c>
      <c r="D89" s="6"/>
      <c r="E89" s="49">
        <v>158754.49</v>
      </c>
      <c r="F89" s="49"/>
      <c r="G89" s="49">
        <v>0</v>
      </c>
      <c r="H89" s="49"/>
      <c r="I89" s="49">
        <v>183281.17</v>
      </c>
      <c r="J89" s="49"/>
      <c r="K89" s="49">
        <v>28713.4</v>
      </c>
      <c r="L89" s="49"/>
      <c r="M89" s="49">
        <v>277183.75</v>
      </c>
      <c r="N89" s="49"/>
      <c r="O89" s="49">
        <v>133055.13</v>
      </c>
      <c r="P89" s="49"/>
      <c r="Q89" s="49">
        <v>81.709999999999994</v>
      </c>
      <c r="R89" s="49"/>
      <c r="S89" s="49">
        <v>37985.919999999998</v>
      </c>
      <c r="T89" s="49"/>
      <c r="U89" s="49">
        <v>0</v>
      </c>
      <c r="V89" s="49"/>
      <c r="W89" s="49">
        <v>0</v>
      </c>
      <c r="X89" s="49"/>
      <c r="Y89" s="49">
        <v>0</v>
      </c>
      <c r="Z89" s="49"/>
      <c r="AA89" s="49">
        <v>0</v>
      </c>
      <c r="AB89" s="49"/>
      <c r="AC89" s="49">
        <v>29334.82</v>
      </c>
      <c r="AD89" s="49"/>
      <c r="AE89" s="49">
        <v>18938.41</v>
      </c>
      <c r="AF89" s="49"/>
      <c r="AG89" s="49">
        <v>0</v>
      </c>
      <c r="AH89" s="49"/>
      <c r="AI89" s="49">
        <f t="shared" si="6"/>
        <v>867328.8</v>
      </c>
      <c r="AJ89" s="8"/>
      <c r="AK89" s="6" t="str">
        <f>'Gen Rev'!A89</f>
        <v>Bridgeport</v>
      </c>
      <c r="AL89" s="6" t="str">
        <f t="shared" si="4"/>
        <v>Bridgeport</v>
      </c>
      <c r="AM89" s="6" t="b">
        <f t="shared" si="5"/>
        <v>1</v>
      </c>
      <c r="AN89" s="12"/>
      <c r="AO89" s="12"/>
      <c r="AP89" s="12"/>
    </row>
    <row r="90" spans="1:42" ht="12" customHeight="1" x14ac:dyDescent="0.2">
      <c r="A90" s="6" t="s">
        <v>295</v>
      </c>
      <c r="C90" s="6" t="s">
        <v>293</v>
      </c>
      <c r="E90" s="49">
        <f>326295+38457</f>
        <v>364752</v>
      </c>
      <c r="F90" s="49"/>
      <c r="G90" s="49">
        <v>4611951</v>
      </c>
      <c r="H90" s="49"/>
      <c r="I90" s="49">
        <v>511770</v>
      </c>
      <c r="J90" s="49"/>
      <c r="K90" s="49">
        <v>5628</v>
      </c>
      <c r="L90" s="49"/>
      <c r="M90" s="49">
        <v>98199</v>
      </c>
      <c r="N90" s="49"/>
      <c r="O90" s="49">
        <v>137893</v>
      </c>
      <c r="P90" s="49"/>
      <c r="Q90" s="49">
        <v>7368</v>
      </c>
      <c r="R90" s="49"/>
      <c r="S90" s="49">
        <f>6116+13578</f>
        <v>19694</v>
      </c>
      <c r="T90" s="49"/>
      <c r="U90" s="49">
        <v>0</v>
      </c>
      <c r="V90" s="49"/>
      <c r="W90" s="49">
        <v>0</v>
      </c>
      <c r="X90" s="49"/>
      <c r="Y90" s="49">
        <v>6635</v>
      </c>
      <c r="Z90" s="49"/>
      <c r="AA90" s="49">
        <v>40000</v>
      </c>
      <c r="AB90" s="49"/>
      <c r="AC90" s="49">
        <v>0</v>
      </c>
      <c r="AD90" s="49"/>
      <c r="AE90" s="49">
        <v>63939</v>
      </c>
      <c r="AF90" s="49"/>
      <c r="AG90" s="49">
        <v>0</v>
      </c>
      <c r="AH90" s="49"/>
      <c r="AI90" s="49">
        <f t="shared" si="6"/>
        <v>5867829</v>
      </c>
      <c r="AJ90" s="8"/>
      <c r="AK90" s="6" t="str">
        <f>'Gen Rev'!A90</f>
        <v>Brooklyn Heights</v>
      </c>
      <c r="AL90" s="6" t="str">
        <f t="shared" si="4"/>
        <v>Brooklyn Heights</v>
      </c>
      <c r="AM90" s="6" t="b">
        <f t="shared" si="5"/>
        <v>1</v>
      </c>
      <c r="AN90" s="8"/>
      <c r="AO90" s="8"/>
      <c r="AP90" s="8"/>
    </row>
    <row r="91" spans="1:42" s="8" customFormat="1" ht="12" customHeight="1" x14ac:dyDescent="0.2">
      <c r="A91" s="6" t="s">
        <v>16</v>
      </c>
      <c r="B91" s="6"/>
      <c r="C91" s="6" t="s">
        <v>261</v>
      </c>
      <c r="D91" s="6"/>
      <c r="E91" s="49">
        <v>64782.46</v>
      </c>
      <c r="F91" s="49"/>
      <c r="G91" s="49">
        <v>0</v>
      </c>
      <c r="H91" s="49"/>
      <c r="I91" s="49">
        <v>71047.16</v>
      </c>
      <c r="J91" s="49"/>
      <c r="K91" s="49">
        <v>0</v>
      </c>
      <c r="L91" s="49"/>
      <c r="M91" s="49">
        <v>7305.12</v>
      </c>
      <c r="N91" s="49"/>
      <c r="O91" s="49">
        <v>3034</v>
      </c>
      <c r="P91" s="49"/>
      <c r="Q91" s="49">
        <v>920.1</v>
      </c>
      <c r="R91" s="49"/>
      <c r="S91" s="49">
        <v>31201.71</v>
      </c>
      <c r="T91" s="49"/>
      <c r="U91" s="49">
        <v>0</v>
      </c>
      <c r="V91" s="49"/>
      <c r="W91" s="49">
        <v>0</v>
      </c>
      <c r="X91" s="49"/>
      <c r="Y91" s="49">
        <v>0</v>
      </c>
      <c r="Z91" s="49"/>
      <c r="AA91" s="49">
        <v>0</v>
      </c>
      <c r="AB91" s="49"/>
      <c r="AC91" s="49">
        <v>0</v>
      </c>
      <c r="AD91" s="49"/>
      <c r="AE91" s="49">
        <v>0</v>
      </c>
      <c r="AF91" s="49"/>
      <c r="AG91" s="49">
        <v>0</v>
      </c>
      <c r="AH91" s="49"/>
      <c r="AI91" s="49">
        <f t="shared" si="6"/>
        <v>178290.55</v>
      </c>
      <c r="AK91" s="6" t="str">
        <f>'Gen Rev'!A91</f>
        <v>Brookside</v>
      </c>
      <c r="AL91" s="6" t="str">
        <f t="shared" si="4"/>
        <v>Brookside</v>
      </c>
      <c r="AM91" s="6" t="b">
        <f t="shared" si="5"/>
        <v>1</v>
      </c>
      <c r="AN91" s="6"/>
      <c r="AO91" s="6"/>
      <c r="AP91" s="6"/>
    </row>
    <row r="92" spans="1:42" ht="12" customHeight="1" x14ac:dyDescent="0.2">
      <c r="A92" s="6" t="s">
        <v>461</v>
      </c>
      <c r="C92" s="6" t="s">
        <v>460</v>
      </c>
      <c r="E92" s="49">
        <v>4821.6499999999996</v>
      </c>
      <c r="F92" s="49"/>
      <c r="G92" s="49">
        <v>0</v>
      </c>
      <c r="H92" s="49"/>
      <c r="I92" s="49">
        <v>13544.69</v>
      </c>
      <c r="J92" s="49"/>
      <c r="K92" s="49">
        <v>0</v>
      </c>
      <c r="L92" s="49"/>
      <c r="M92" s="49">
        <v>0</v>
      </c>
      <c r="N92" s="49"/>
      <c r="O92" s="49">
        <v>0</v>
      </c>
      <c r="P92" s="49"/>
      <c r="Q92" s="49">
        <v>8.69</v>
      </c>
      <c r="R92" s="49"/>
      <c r="S92" s="49">
        <v>340.2</v>
      </c>
      <c r="T92" s="49"/>
      <c r="U92" s="49">
        <v>0</v>
      </c>
      <c r="V92" s="49"/>
      <c r="W92" s="49">
        <v>0</v>
      </c>
      <c r="X92" s="49"/>
      <c r="Y92" s="49">
        <v>0</v>
      </c>
      <c r="Z92" s="49"/>
      <c r="AA92" s="49">
        <v>0</v>
      </c>
      <c r="AB92" s="49"/>
      <c r="AC92" s="49">
        <v>0</v>
      </c>
      <c r="AD92" s="49"/>
      <c r="AE92" s="49">
        <v>0</v>
      </c>
      <c r="AF92" s="49"/>
      <c r="AG92" s="49">
        <v>0</v>
      </c>
      <c r="AH92" s="49"/>
      <c r="AI92" s="49">
        <f t="shared" si="6"/>
        <v>18715.23</v>
      </c>
      <c r="AJ92" s="8"/>
      <c r="AK92" s="6" t="str">
        <f>'Gen Rev'!A92</f>
        <v>Broughton</v>
      </c>
      <c r="AL92" s="6" t="str">
        <f t="shared" si="4"/>
        <v>Broughton</v>
      </c>
      <c r="AM92" s="6" t="b">
        <f t="shared" si="5"/>
        <v>1</v>
      </c>
      <c r="AN92" s="14"/>
      <c r="AO92" s="14"/>
      <c r="AP92" s="14"/>
    </row>
    <row r="93" spans="1:42" ht="12" customHeight="1" x14ac:dyDescent="0.2">
      <c r="A93" s="6" t="s">
        <v>254</v>
      </c>
      <c r="C93" s="6" t="s">
        <v>253</v>
      </c>
      <c r="E93" s="49">
        <v>55325</v>
      </c>
      <c r="F93" s="49"/>
      <c r="G93" s="49">
        <v>0</v>
      </c>
      <c r="H93" s="49"/>
      <c r="I93" s="49">
        <v>41951</v>
      </c>
      <c r="J93" s="49"/>
      <c r="K93" s="49">
        <v>0</v>
      </c>
      <c r="L93" s="49"/>
      <c r="M93" s="49">
        <v>0</v>
      </c>
      <c r="N93" s="49"/>
      <c r="O93" s="49">
        <v>15804</v>
      </c>
      <c r="P93" s="49"/>
      <c r="Q93" s="49">
        <v>145</v>
      </c>
      <c r="R93" s="49"/>
      <c r="S93" s="49">
        <v>2305</v>
      </c>
      <c r="T93" s="49"/>
      <c r="U93" s="49">
        <v>0</v>
      </c>
      <c r="V93" s="49"/>
      <c r="W93" s="49">
        <v>0</v>
      </c>
      <c r="X93" s="49"/>
      <c r="Y93" s="49">
        <v>0</v>
      </c>
      <c r="Z93" s="49"/>
      <c r="AA93" s="49">
        <v>0</v>
      </c>
      <c r="AB93" s="49"/>
      <c r="AC93" s="49">
        <v>0</v>
      </c>
      <c r="AD93" s="49"/>
      <c r="AE93" s="49">
        <v>0</v>
      </c>
      <c r="AF93" s="49"/>
      <c r="AG93" s="49">
        <v>0</v>
      </c>
      <c r="AH93" s="49"/>
      <c r="AI93" s="49">
        <f t="shared" si="6"/>
        <v>115530</v>
      </c>
      <c r="AJ93" s="8"/>
      <c r="AK93" s="6" t="str">
        <f>'Gen Rev'!A93</f>
        <v>Buchtel</v>
      </c>
      <c r="AL93" s="6" t="str">
        <f t="shared" si="4"/>
        <v>Buchtel</v>
      </c>
      <c r="AM93" s="6" t="b">
        <f t="shared" si="5"/>
        <v>1</v>
      </c>
      <c r="AN93" s="14"/>
      <c r="AO93" s="14"/>
      <c r="AP93" s="14"/>
    </row>
    <row r="94" spans="1:42" s="14" customFormat="1" ht="12" customHeight="1" x14ac:dyDescent="0.2">
      <c r="A94" s="6" t="s">
        <v>122</v>
      </c>
      <c r="B94" s="6"/>
      <c r="C94" s="6" t="s">
        <v>408</v>
      </c>
      <c r="D94" s="6"/>
      <c r="E94" s="49">
        <v>513931.91</v>
      </c>
      <c r="F94" s="49"/>
      <c r="G94" s="49">
        <v>0</v>
      </c>
      <c r="H94" s="49"/>
      <c r="I94" s="49">
        <v>209825.75</v>
      </c>
      <c r="J94" s="49"/>
      <c r="K94" s="49">
        <v>19870.75</v>
      </c>
      <c r="L94" s="49"/>
      <c r="M94" s="49">
        <v>18698.759999999998</v>
      </c>
      <c r="N94" s="49"/>
      <c r="O94" s="49">
        <v>126002.48</v>
      </c>
      <c r="P94" s="49"/>
      <c r="Q94" s="49">
        <v>1298.17</v>
      </c>
      <c r="R94" s="49"/>
      <c r="S94" s="49">
        <v>38920.269999999997</v>
      </c>
      <c r="T94" s="49"/>
      <c r="U94" s="49">
        <v>0</v>
      </c>
      <c r="V94" s="49"/>
      <c r="W94" s="49">
        <v>0</v>
      </c>
      <c r="X94" s="49"/>
      <c r="Y94" s="49">
        <v>0</v>
      </c>
      <c r="Z94" s="49"/>
      <c r="AA94" s="49">
        <v>119639</v>
      </c>
      <c r="AB94" s="49"/>
      <c r="AC94" s="49">
        <v>0</v>
      </c>
      <c r="AD94" s="49"/>
      <c r="AE94" s="49">
        <v>0</v>
      </c>
      <c r="AF94" s="49"/>
      <c r="AG94" s="49">
        <v>277</v>
      </c>
      <c r="AH94" s="49"/>
      <c r="AI94" s="49">
        <f t="shared" si="6"/>
        <v>1048464.09</v>
      </c>
      <c r="AJ94" s="8"/>
      <c r="AK94" s="6" t="str">
        <f>'Gen Rev'!A94</f>
        <v>Buckeye Lake</v>
      </c>
      <c r="AL94" s="6" t="str">
        <f t="shared" si="4"/>
        <v>Buckeye Lake</v>
      </c>
      <c r="AM94" s="6" t="b">
        <f t="shared" si="5"/>
        <v>1</v>
      </c>
      <c r="AN94" s="6"/>
      <c r="AO94" s="6"/>
      <c r="AP94" s="6"/>
    </row>
    <row r="95" spans="1:42" ht="12" customHeight="1" x14ac:dyDescent="0.2">
      <c r="A95" s="6" t="s">
        <v>11</v>
      </c>
      <c r="C95" s="6" t="s">
        <v>257</v>
      </c>
      <c r="E95" s="49">
        <v>5111.3599999999997</v>
      </c>
      <c r="F95" s="49"/>
      <c r="G95" s="49">
        <v>0</v>
      </c>
      <c r="H95" s="49"/>
      <c r="I95" s="49">
        <v>44565.09</v>
      </c>
      <c r="J95" s="49"/>
      <c r="K95" s="49">
        <v>0</v>
      </c>
      <c r="L95" s="49"/>
      <c r="M95" s="49">
        <v>380069.34</v>
      </c>
      <c r="N95" s="49"/>
      <c r="O95" s="49">
        <v>1838.71</v>
      </c>
      <c r="P95" s="49"/>
      <c r="Q95" s="49">
        <v>111.51</v>
      </c>
      <c r="R95" s="49"/>
      <c r="S95" s="49">
        <v>1420</v>
      </c>
      <c r="T95" s="49"/>
      <c r="U95" s="49">
        <v>0</v>
      </c>
      <c r="V95" s="49"/>
      <c r="W95" s="49">
        <v>0</v>
      </c>
      <c r="X95" s="49"/>
      <c r="Y95" s="49">
        <v>0</v>
      </c>
      <c r="Z95" s="49"/>
      <c r="AA95" s="49">
        <v>0</v>
      </c>
      <c r="AB95" s="49"/>
      <c r="AC95" s="49">
        <v>0</v>
      </c>
      <c r="AD95" s="49"/>
      <c r="AE95" s="49">
        <v>0</v>
      </c>
      <c r="AF95" s="49"/>
      <c r="AG95" s="49">
        <v>0</v>
      </c>
      <c r="AH95" s="49"/>
      <c r="AI95" s="49">
        <f t="shared" si="6"/>
        <v>433116.01000000007</v>
      </c>
      <c r="AJ95" s="8"/>
      <c r="AK95" s="6" t="str">
        <f>'Gen Rev'!A95</f>
        <v>Buckland</v>
      </c>
      <c r="AL95" s="6" t="str">
        <f t="shared" si="4"/>
        <v>Buckland</v>
      </c>
      <c r="AM95" s="6" t="b">
        <f t="shared" si="5"/>
        <v>1</v>
      </c>
      <c r="AN95" s="14"/>
      <c r="AO95" s="14"/>
      <c r="AP95" s="14"/>
    </row>
    <row r="96" spans="1:42" ht="12" customHeight="1" x14ac:dyDescent="0.2">
      <c r="A96" s="6" t="s">
        <v>231</v>
      </c>
      <c r="C96" s="6" t="s">
        <v>547</v>
      </c>
      <c r="E96" s="49">
        <v>73428.41</v>
      </c>
      <c r="F96" s="49"/>
      <c r="G96" s="49">
        <v>0</v>
      </c>
      <c r="H96" s="49"/>
      <c r="I96" s="49">
        <v>34732.25</v>
      </c>
      <c r="J96" s="49"/>
      <c r="K96" s="49">
        <v>0</v>
      </c>
      <c r="L96" s="49"/>
      <c r="M96" s="49">
        <v>0</v>
      </c>
      <c r="N96" s="49"/>
      <c r="O96" s="49">
        <v>7295</v>
      </c>
      <c r="P96" s="49"/>
      <c r="Q96" s="49">
        <v>406.39</v>
      </c>
      <c r="R96" s="49"/>
      <c r="S96" s="49">
        <v>702.75</v>
      </c>
      <c r="T96" s="49"/>
      <c r="U96" s="49">
        <v>0</v>
      </c>
      <c r="V96" s="49"/>
      <c r="W96" s="49">
        <v>0</v>
      </c>
      <c r="X96" s="49"/>
      <c r="Y96" s="49">
        <v>0</v>
      </c>
      <c r="Z96" s="49"/>
      <c r="AA96" s="49">
        <v>0</v>
      </c>
      <c r="AB96" s="49"/>
      <c r="AC96" s="49">
        <v>0</v>
      </c>
      <c r="AD96" s="49"/>
      <c r="AE96" s="49">
        <v>250</v>
      </c>
      <c r="AF96" s="49"/>
      <c r="AG96" s="49">
        <v>0</v>
      </c>
      <c r="AH96" s="49"/>
      <c r="AI96" s="49">
        <f t="shared" si="6"/>
        <v>116814.8</v>
      </c>
      <c r="AJ96" s="8"/>
      <c r="AK96" s="6" t="str">
        <f>'Gen Rev'!A96</f>
        <v>Burbank</v>
      </c>
      <c r="AL96" s="6" t="str">
        <f t="shared" si="4"/>
        <v>Burbank</v>
      </c>
      <c r="AM96" s="6" t="b">
        <f t="shared" si="5"/>
        <v>1</v>
      </c>
      <c r="AN96" s="14"/>
      <c r="AO96" s="14"/>
      <c r="AP96" s="14"/>
    </row>
    <row r="97" spans="1:42" s="14" customFormat="1" ht="12" customHeight="1" x14ac:dyDescent="0.2">
      <c r="A97" s="6" t="s">
        <v>486</v>
      </c>
      <c r="B97" s="6"/>
      <c r="C97" s="6" t="s">
        <v>487</v>
      </c>
      <c r="D97" s="6"/>
      <c r="E97" s="49">
        <v>29515.95</v>
      </c>
      <c r="F97" s="49"/>
      <c r="G97" s="49">
        <v>0</v>
      </c>
      <c r="H97" s="49"/>
      <c r="I97" s="49">
        <v>11002.79</v>
      </c>
      <c r="J97" s="49"/>
      <c r="K97" s="49">
        <v>0</v>
      </c>
      <c r="L97" s="49"/>
      <c r="M97" s="49">
        <v>0</v>
      </c>
      <c r="N97" s="49"/>
      <c r="O97" s="49">
        <v>799.01</v>
      </c>
      <c r="P97" s="49"/>
      <c r="Q97" s="49">
        <v>339.43</v>
      </c>
      <c r="R97" s="49"/>
      <c r="S97" s="49">
        <v>0</v>
      </c>
      <c r="T97" s="49"/>
      <c r="U97" s="49">
        <v>0</v>
      </c>
      <c r="V97" s="49"/>
      <c r="W97" s="49">
        <v>0</v>
      </c>
      <c r="X97" s="49"/>
      <c r="Y97" s="49">
        <v>0</v>
      </c>
      <c r="Z97" s="49"/>
      <c r="AA97" s="49">
        <v>0</v>
      </c>
      <c r="AB97" s="49"/>
      <c r="AC97" s="49">
        <v>0</v>
      </c>
      <c r="AD97" s="49"/>
      <c r="AE97" s="49">
        <v>135.9</v>
      </c>
      <c r="AF97" s="49"/>
      <c r="AG97" s="49">
        <v>0</v>
      </c>
      <c r="AH97" s="49"/>
      <c r="AI97" s="49">
        <f t="shared" si="6"/>
        <v>41793.080000000009</v>
      </c>
      <c r="AJ97" s="8"/>
      <c r="AK97" s="6" t="str">
        <f>'Gen Rev'!A97</f>
        <v>Burgoon</v>
      </c>
      <c r="AL97" s="6" t="str">
        <f t="shared" si="4"/>
        <v>Burgoon</v>
      </c>
      <c r="AM97" s="6" t="b">
        <f t="shared" si="5"/>
        <v>1</v>
      </c>
    </row>
    <row r="98" spans="1:42" s="14" customFormat="1" ht="12" customHeight="1" x14ac:dyDescent="0.2">
      <c r="A98" s="6" t="s">
        <v>432</v>
      </c>
      <c r="B98" s="6"/>
      <c r="C98" s="6" t="s">
        <v>647</v>
      </c>
      <c r="D98" s="6"/>
      <c r="E98" s="49">
        <v>41828</v>
      </c>
      <c r="F98" s="49"/>
      <c r="G98" s="49">
        <v>0</v>
      </c>
      <c r="H98" s="49"/>
      <c r="I98" s="49">
        <v>13116</v>
      </c>
      <c r="J98" s="49"/>
      <c r="K98" s="49">
        <v>58231</v>
      </c>
      <c r="L98" s="49"/>
      <c r="M98" s="49">
        <v>6775</v>
      </c>
      <c r="N98" s="49"/>
      <c r="O98" s="49">
        <v>0</v>
      </c>
      <c r="P98" s="49"/>
      <c r="Q98" s="49">
        <v>0</v>
      </c>
      <c r="R98" s="49"/>
      <c r="S98" s="49">
        <v>14928</v>
      </c>
      <c r="T98" s="49"/>
      <c r="U98" s="49">
        <v>0</v>
      </c>
      <c r="V98" s="49"/>
      <c r="W98" s="49">
        <v>0</v>
      </c>
      <c r="X98" s="49"/>
      <c r="Y98" s="49">
        <v>0</v>
      </c>
      <c r="Z98" s="49"/>
      <c r="AA98" s="49">
        <v>0</v>
      </c>
      <c r="AB98" s="49"/>
      <c r="AC98" s="49">
        <v>0</v>
      </c>
      <c r="AD98" s="49"/>
      <c r="AE98" s="49">
        <v>0</v>
      </c>
      <c r="AF98" s="49"/>
      <c r="AG98" s="49">
        <v>0</v>
      </c>
      <c r="AH98" s="49"/>
      <c r="AI98" s="49">
        <f t="shared" si="6"/>
        <v>134878</v>
      </c>
      <c r="AJ98" s="18"/>
      <c r="AK98" s="6" t="str">
        <f>'Gen Rev'!A98</f>
        <v>Burkettsville</v>
      </c>
      <c r="AL98" s="6" t="str">
        <f t="shared" si="4"/>
        <v>Burkettsville</v>
      </c>
      <c r="AM98" s="6" t="b">
        <f t="shared" si="5"/>
        <v>1</v>
      </c>
      <c r="AN98" s="6"/>
      <c r="AO98" s="6"/>
      <c r="AP98" s="6"/>
    </row>
    <row r="99" spans="1:42" ht="12" customHeight="1" x14ac:dyDescent="0.2">
      <c r="A99" s="6" t="s">
        <v>634</v>
      </c>
      <c r="C99" s="6" t="s">
        <v>340</v>
      </c>
      <c r="E99" s="49">
        <v>204650</v>
      </c>
      <c r="F99" s="49"/>
      <c r="G99" s="49">
        <v>472039</v>
      </c>
      <c r="H99" s="49"/>
      <c r="I99" s="49">
        <v>205483</v>
      </c>
      <c r="J99" s="49"/>
      <c r="K99" s="49">
        <v>25722</v>
      </c>
      <c r="L99" s="49"/>
      <c r="M99" s="49">
        <v>33766</v>
      </c>
      <c r="N99" s="49"/>
      <c r="O99" s="49">
        <v>22469</v>
      </c>
      <c r="P99" s="49"/>
      <c r="Q99" s="49">
        <v>13825</v>
      </c>
      <c r="R99" s="49"/>
      <c r="S99" s="49">
        <v>7908</v>
      </c>
      <c r="T99" s="49"/>
      <c r="U99" s="49">
        <v>0</v>
      </c>
      <c r="V99" s="49"/>
      <c r="W99" s="49">
        <v>0</v>
      </c>
      <c r="X99" s="49"/>
      <c r="Y99" s="49">
        <v>11455</v>
      </c>
      <c r="Z99" s="49"/>
      <c r="AA99" s="49">
        <v>397665</v>
      </c>
      <c r="AB99" s="49"/>
      <c r="AC99" s="49">
        <v>633202</v>
      </c>
      <c r="AD99" s="49"/>
      <c r="AE99" s="49">
        <v>775</v>
      </c>
      <c r="AF99" s="49"/>
      <c r="AG99" s="49">
        <v>0</v>
      </c>
      <c r="AH99" s="49"/>
      <c r="AI99" s="49">
        <f t="shared" si="6"/>
        <v>2028959</v>
      </c>
      <c r="AJ99" s="8"/>
      <c r="AK99" s="6" t="str">
        <f>'Gen Rev'!A99</f>
        <v>Burton</v>
      </c>
      <c r="AL99" s="6" t="str">
        <f t="shared" si="4"/>
        <v>Burton</v>
      </c>
      <c r="AM99" s="6" t="b">
        <f t="shared" si="5"/>
        <v>1</v>
      </c>
    </row>
    <row r="100" spans="1:42" ht="12" customHeight="1" x14ac:dyDescent="0.2">
      <c r="A100" s="6" t="s">
        <v>480</v>
      </c>
      <c r="C100" s="6" t="s">
        <v>694</v>
      </c>
      <c r="E100" s="49">
        <v>131789</v>
      </c>
      <c r="F100" s="49"/>
      <c r="G100" s="49">
        <v>0</v>
      </c>
      <c r="H100" s="49"/>
      <c r="I100" s="49">
        <v>115440</v>
      </c>
      <c r="J100" s="49"/>
      <c r="K100" s="49">
        <v>43300</v>
      </c>
      <c r="L100" s="49"/>
      <c r="M100" s="49">
        <v>239919</v>
      </c>
      <c r="N100" s="49"/>
      <c r="O100" s="49">
        <v>6072</v>
      </c>
      <c r="P100" s="49"/>
      <c r="Q100" s="49">
        <v>0</v>
      </c>
      <c r="R100" s="49"/>
      <c r="S100" s="49">
        <v>16092</v>
      </c>
      <c r="T100" s="49"/>
      <c r="U100" s="49">
        <v>0</v>
      </c>
      <c r="V100" s="49"/>
      <c r="W100" s="49">
        <v>0</v>
      </c>
      <c r="X100" s="49"/>
      <c r="Y100" s="49">
        <v>0</v>
      </c>
      <c r="Z100" s="49"/>
      <c r="AA100" s="49">
        <v>0</v>
      </c>
      <c r="AB100" s="49"/>
      <c r="AC100" s="49">
        <v>0</v>
      </c>
      <c r="AD100" s="49"/>
      <c r="AE100" s="49">
        <v>0</v>
      </c>
      <c r="AF100" s="49"/>
      <c r="AG100" s="49">
        <v>0</v>
      </c>
      <c r="AH100" s="49"/>
      <c r="AI100" s="49">
        <f t="shared" si="6"/>
        <v>552612</v>
      </c>
      <c r="AJ100" s="8"/>
      <c r="AK100" s="6" t="str">
        <f>'Gen Rev'!A100</f>
        <v>Butler</v>
      </c>
      <c r="AL100" s="6" t="str">
        <f t="shared" si="4"/>
        <v>Butler</v>
      </c>
      <c r="AM100" s="6" t="b">
        <f t="shared" si="5"/>
        <v>1</v>
      </c>
    </row>
    <row r="101" spans="1:42" s="14" customFormat="1" ht="12" customHeight="1" x14ac:dyDescent="0.2">
      <c r="A101" s="6" t="s">
        <v>81</v>
      </c>
      <c r="B101" s="6"/>
      <c r="C101" s="6" t="s">
        <v>349</v>
      </c>
      <c r="D101" s="6"/>
      <c r="E101" s="49">
        <v>141355.12</v>
      </c>
      <c r="F101" s="49"/>
      <c r="G101" s="49">
        <v>333273.82</v>
      </c>
      <c r="H101" s="49"/>
      <c r="I101" s="49">
        <v>179590.82</v>
      </c>
      <c r="J101" s="49"/>
      <c r="K101" s="49">
        <v>196.02</v>
      </c>
      <c r="L101" s="49"/>
      <c r="M101" s="49">
        <v>80000</v>
      </c>
      <c r="N101" s="49"/>
      <c r="O101" s="49">
        <v>1834</v>
      </c>
      <c r="P101" s="49"/>
      <c r="Q101" s="49">
        <v>1728.04</v>
      </c>
      <c r="R101" s="49"/>
      <c r="S101" s="49">
        <v>61358.71</v>
      </c>
      <c r="T101" s="49"/>
      <c r="U101" s="49">
        <v>0</v>
      </c>
      <c r="V101" s="49"/>
      <c r="W101" s="49">
        <v>0</v>
      </c>
      <c r="X101" s="49"/>
      <c r="Y101" s="49">
        <v>0</v>
      </c>
      <c r="Z101" s="49"/>
      <c r="AA101" s="49">
        <v>86000</v>
      </c>
      <c r="AB101" s="49"/>
      <c r="AC101" s="49">
        <v>0</v>
      </c>
      <c r="AD101" s="49"/>
      <c r="AE101" s="49">
        <v>0</v>
      </c>
      <c r="AF101" s="49"/>
      <c r="AG101" s="49">
        <v>0</v>
      </c>
      <c r="AH101" s="49"/>
      <c r="AI101" s="49">
        <f t="shared" si="6"/>
        <v>885336.53</v>
      </c>
      <c r="AJ101" s="8"/>
      <c r="AK101" s="6" t="str">
        <f>'Gen Rev'!A101</f>
        <v>Byesville</v>
      </c>
      <c r="AL101" s="6" t="str">
        <f t="shared" si="4"/>
        <v>Byesville</v>
      </c>
      <c r="AM101" s="6" t="b">
        <f t="shared" si="5"/>
        <v>1</v>
      </c>
      <c r="AN101" s="6"/>
      <c r="AO101" s="6"/>
      <c r="AP101" s="6"/>
    </row>
    <row r="102" spans="1:42" ht="12" customHeight="1" x14ac:dyDescent="0.2">
      <c r="A102" s="6" t="s">
        <v>95</v>
      </c>
      <c r="C102" s="6" t="s">
        <v>373</v>
      </c>
      <c r="E102" s="49">
        <v>121537</v>
      </c>
      <c r="F102" s="49"/>
      <c r="G102" s="49">
        <v>1155487</v>
      </c>
      <c r="H102" s="49"/>
      <c r="I102" s="49">
        <v>219392</v>
      </c>
      <c r="J102" s="49"/>
      <c r="K102" s="49">
        <v>0</v>
      </c>
      <c r="L102" s="49"/>
      <c r="M102" s="49">
        <v>304041</v>
      </c>
      <c r="N102" s="49"/>
      <c r="O102" s="49">
        <v>73030</v>
      </c>
      <c r="P102" s="49"/>
      <c r="Q102" s="49">
        <v>1314</v>
      </c>
      <c r="R102" s="49"/>
      <c r="S102" s="49">
        <v>46827</v>
      </c>
      <c r="T102" s="49"/>
      <c r="U102" s="49">
        <v>0</v>
      </c>
      <c r="V102" s="49"/>
      <c r="W102" s="49">
        <v>0</v>
      </c>
      <c r="X102" s="49"/>
      <c r="Y102" s="49">
        <v>0</v>
      </c>
      <c r="Z102" s="49"/>
      <c r="AA102" s="49">
        <v>0</v>
      </c>
      <c r="AB102" s="49"/>
      <c r="AC102" s="49">
        <v>0</v>
      </c>
      <c r="AD102" s="49"/>
      <c r="AE102" s="49">
        <v>198733</v>
      </c>
      <c r="AF102" s="49"/>
      <c r="AG102" s="49">
        <v>0</v>
      </c>
      <c r="AH102" s="49"/>
      <c r="AI102" s="49">
        <f t="shared" si="6"/>
        <v>2120361</v>
      </c>
      <c r="AJ102" s="8"/>
      <c r="AK102" s="6" t="str">
        <f>'Gen Rev'!A102</f>
        <v>Cadiz</v>
      </c>
      <c r="AL102" s="6" t="str">
        <f t="shared" si="4"/>
        <v>Cadiz</v>
      </c>
      <c r="AM102" s="6" t="b">
        <f t="shared" si="5"/>
        <v>1</v>
      </c>
      <c r="AN102" s="13"/>
      <c r="AO102" s="13"/>
      <c r="AP102" s="13"/>
    </row>
    <row r="103" spans="1:42" ht="12" customHeight="1" x14ac:dyDescent="0.2">
      <c r="A103" s="6" t="s">
        <v>95</v>
      </c>
      <c r="C103" s="6" t="s">
        <v>373</v>
      </c>
      <c r="E103" s="49">
        <v>121537.14</v>
      </c>
      <c r="F103" s="49"/>
      <c r="G103" s="49">
        <v>1155487.45</v>
      </c>
      <c r="H103" s="49"/>
      <c r="I103" s="49">
        <v>219392.08</v>
      </c>
      <c r="J103" s="49"/>
      <c r="K103" s="49">
        <v>0</v>
      </c>
      <c r="L103" s="49"/>
      <c r="M103" s="49">
        <v>304041.49</v>
      </c>
      <c r="N103" s="49"/>
      <c r="O103" s="49">
        <v>73029.7</v>
      </c>
      <c r="P103" s="49"/>
      <c r="Q103" s="49">
        <v>1313.9</v>
      </c>
      <c r="R103" s="49"/>
      <c r="S103" s="49">
        <v>46827.31</v>
      </c>
      <c r="T103" s="49"/>
      <c r="U103" s="49">
        <v>0</v>
      </c>
      <c r="V103" s="49"/>
      <c r="W103" s="49">
        <v>0</v>
      </c>
      <c r="X103" s="49"/>
      <c r="Y103" s="49">
        <v>0</v>
      </c>
      <c r="Z103" s="49"/>
      <c r="AA103" s="49">
        <v>0</v>
      </c>
      <c r="AB103" s="49"/>
      <c r="AC103" s="49">
        <v>0</v>
      </c>
      <c r="AD103" s="49"/>
      <c r="AE103" s="49">
        <v>198732.92</v>
      </c>
      <c r="AF103" s="49"/>
      <c r="AG103" s="49">
        <v>0</v>
      </c>
      <c r="AH103" s="49"/>
      <c r="AI103" s="49">
        <f t="shared" si="6"/>
        <v>2120361.9899999998</v>
      </c>
      <c r="AJ103" s="8"/>
      <c r="AK103" s="6" t="str">
        <f>'Gen Rev'!A103</f>
        <v>Cadiz</v>
      </c>
      <c r="AL103" s="6" t="str">
        <f t="shared" si="4"/>
        <v>Cadiz</v>
      </c>
      <c r="AM103" s="6" t="b">
        <f t="shared" si="5"/>
        <v>1</v>
      </c>
      <c r="AN103" s="13"/>
      <c r="AO103" s="13"/>
      <c r="AP103" s="13"/>
    </row>
    <row r="104" spans="1:42" ht="12" customHeight="1" x14ac:dyDescent="0.2">
      <c r="A104" s="6" t="s">
        <v>650</v>
      </c>
      <c r="C104" s="6" t="s">
        <v>651</v>
      </c>
      <c r="E104" s="49">
        <v>47117.08</v>
      </c>
      <c r="F104" s="49"/>
      <c r="G104" s="49">
        <v>41514.629999999997</v>
      </c>
      <c r="H104" s="49"/>
      <c r="I104" s="49">
        <v>40198.050000000003</v>
      </c>
      <c r="J104" s="49"/>
      <c r="K104" s="49">
        <v>47295.4</v>
      </c>
      <c r="L104" s="49"/>
      <c r="M104" s="49">
        <v>7965</v>
      </c>
      <c r="N104" s="49"/>
      <c r="O104" s="49">
        <v>1482.13</v>
      </c>
      <c r="P104" s="49"/>
      <c r="Q104" s="49">
        <v>50.44</v>
      </c>
      <c r="R104" s="49"/>
      <c r="S104" s="49">
        <v>26536.05</v>
      </c>
      <c r="T104" s="49"/>
      <c r="U104" s="49">
        <v>0</v>
      </c>
      <c r="V104" s="49"/>
      <c r="W104" s="49">
        <v>0</v>
      </c>
      <c r="X104" s="49"/>
      <c r="Y104" s="49">
        <v>0</v>
      </c>
      <c r="Z104" s="49"/>
      <c r="AA104" s="49">
        <v>0</v>
      </c>
      <c r="AB104" s="49"/>
      <c r="AC104" s="49">
        <v>0</v>
      </c>
      <c r="AD104" s="49"/>
      <c r="AE104" s="49">
        <v>0</v>
      </c>
      <c r="AF104" s="49"/>
      <c r="AG104" s="49">
        <v>0</v>
      </c>
      <c r="AH104" s="49"/>
      <c r="AI104" s="49">
        <f t="shared" si="6"/>
        <v>212158.78</v>
      </c>
      <c r="AJ104" s="8"/>
      <c r="AK104" s="6" t="str">
        <f>'Gen Rev'!A104</f>
        <v>Cairo</v>
      </c>
      <c r="AL104" s="6" t="str">
        <f t="shared" si="4"/>
        <v>Cairo</v>
      </c>
      <c r="AM104" s="6" t="b">
        <f t="shared" si="5"/>
        <v>1</v>
      </c>
      <c r="AN104" s="14"/>
      <c r="AO104" s="14"/>
      <c r="AP104" s="14"/>
    </row>
    <row r="105" spans="1:42" ht="12" customHeight="1" x14ac:dyDescent="0.2">
      <c r="A105" s="6" t="s">
        <v>163</v>
      </c>
      <c r="C105" s="6" t="s">
        <v>455</v>
      </c>
      <c r="E105" s="49">
        <v>46844.44</v>
      </c>
      <c r="F105" s="49"/>
      <c r="G105" s="49">
        <v>0</v>
      </c>
      <c r="H105" s="49"/>
      <c r="I105" s="49">
        <v>265441.09999999998</v>
      </c>
      <c r="J105" s="49"/>
      <c r="K105" s="49">
        <v>0</v>
      </c>
      <c r="L105" s="49"/>
      <c r="M105" s="49">
        <v>15726.75</v>
      </c>
      <c r="N105" s="49"/>
      <c r="O105" s="49">
        <v>2363.15</v>
      </c>
      <c r="P105" s="49"/>
      <c r="Q105" s="49">
        <v>72060.740000000005</v>
      </c>
      <c r="R105" s="49"/>
      <c r="S105" s="49">
        <v>691150.57</v>
      </c>
      <c r="T105" s="49"/>
      <c r="U105" s="49">
        <v>0</v>
      </c>
      <c r="V105" s="49"/>
      <c r="W105" s="49">
        <v>0</v>
      </c>
      <c r="X105" s="49"/>
      <c r="Y105" s="49">
        <v>0</v>
      </c>
      <c r="Z105" s="49"/>
      <c r="AA105" s="49">
        <v>0</v>
      </c>
      <c r="AB105" s="49"/>
      <c r="AC105" s="49">
        <v>0</v>
      </c>
      <c r="AD105" s="49"/>
      <c r="AE105" s="49">
        <v>0</v>
      </c>
      <c r="AF105" s="49"/>
      <c r="AG105" s="49">
        <v>0</v>
      </c>
      <c r="AH105" s="49"/>
      <c r="AI105" s="49">
        <f t="shared" si="6"/>
        <v>1093586.75</v>
      </c>
      <c r="AJ105" s="8"/>
      <c r="AK105" s="6" t="str">
        <f>'Gen Rev'!A105</f>
        <v>Caldwell</v>
      </c>
      <c r="AL105" s="6" t="str">
        <f t="shared" si="4"/>
        <v>Caldwell</v>
      </c>
      <c r="AM105" s="6" t="b">
        <f t="shared" si="5"/>
        <v>1</v>
      </c>
      <c r="AN105" s="14"/>
      <c r="AO105" s="14"/>
      <c r="AP105" s="14"/>
    </row>
    <row r="106" spans="1:42" s="14" customFormat="1" ht="12" customHeight="1" x14ac:dyDescent="0.2">
      <c r="A106" s="6" t="s">
        <v>137</v>
      </c>
      <c r="B106" s="6"/>
      <c r="C106" s="6" t="s">
        <v>430</v>
      </c>
      <c r="D106" s="6"/>
      <c r="E106" s="49">
        <v>52579.74</v>
      </c>
      <c r="F106" s="49"/>
      <c r="G106" s="49">
        <v>0</v>
      </c>
      <c r="H106" s="49"/>
      <c r="I106" s="49">
        <v>52095.4</v>
      </c>
      <c r="J106" s="49"/>
      <c r="K106" s="49">
        <v>0</v>
      </c>
      <c r="L106" s="49"/>
      <c r="M106" s="49">
        <v>2375</v>
      </c>
      <c r="N106" s="49"/>
      <c r="O106" s="49">
        <v>4586.76</v>
      </c>
      <c r="P106" s="49"/>
      <c r="Q106" s="49">
        <v>160.83000000000001</v>
      </c>
      <c r="R106" s="49"/>
      <c r="S106" s="49">
        <v>31630.16</v>
      </c>
      <c r="T106" s="49"/>
      <c r="U106" s="49">
        <v>0</v>
      </c>
      <c r="V106" s="49"/>
      <c r="W106" s="49">
        <v>0</v>
      </c>
      <c r="X106" s="49"/>
      <c r="Y106" s="49">
        <v>0</v>
      </c>
      <c r="Z106" s="49"/>
      <c r="AA106" s="49">
        <v>0</v>
      </c>
      <c r="AB106" s="49"/>
      <c r="AC106" s="49">
        <v>0</v>
      </c>
      <c r="AD106" s="49"/>
      <c r="AE106" s="49">
        <v>0</v>
      </c>
      <c r="AF106" s="49"/>
      <c r="AG106" s="49">
        <v>0</v>
      </c>
      <c r="AH106" s="49"/>
      <c r="AI106" s="49">
        <f t="shared" si="6"/>
        <v>143427.88999999998</v>
      </c>
      <c r="AJ106" s="8"/>
      <c r="AK106" s="6" t="str">
        <f>'Gen Rev'!A106</f>
        <v>Caledonia</v>
      </c>
      <c r="AL106" s="6" t="str">
        <f t="shared" si="4"/>
        <v>Caledonia</v>
      </c>
      <c r="AM106" s="6" t="b">
        <f t="shared" si="5"/>
        <v>1</v>
      </c>
      <c r="AN106" s="6"/>
      <c r="AO106" s="6"/>
      <c r="AP106" s="6"/>
    </row>
    <row r="107" spans="1:42" ht="12" customHeight="1" x14ac:dyDescent="0.2">
      <c r="A107" s="6" t="s">
        <v>183</v>
      </c>
      <c r="C107" s="6" t="s">
        <v>472</v>
      </c>
      <c r="E107" s="49">
        <v>226401.86</v>
      </c>
      <c r="F107" s="49"/>
      <c r="G107" s="49">
        <v>0</v>
      </c>
      <c r="H107" s="49"/>
      <c r="I107" s="49">
        <v>130936.77</v>
      </c>
      <c r="J107" s="49"/>
      <c r="K107" s="49">
        <v>0</v>
      </c>
      <c r="L107" s="49"/>
      <c r="M107" s="49">
        <v>10386.75</v>
      </c>
      <c r="N107" s="49"/>
      <c r="O107" s="49">
        <v>31511.43</v>
      </c>
      <c r="P107" s="49"/>
      <c r="Q107" s="49">
        <v>569.42999999999995</v>
      </c>
      <c r="R107" s="49"/>
      <c r="S107" s="49">
        <v>102503.45</v>
      </c>
      <c r="T107" s="49"/>
      <c r="U107" s="49">
        <v>0</v>
      </c>
      <c r="V107" s="49"/>
      <c r="W107" s="49">
        <v>0</v>
      </c>
      <c r="X107" s="49"/>
      <c r="Y107" s="49">
        <v>0</v>
      </c>
      <c r="Z107" s="49"/>
      <c r="AA107" s="49">
        <v>0</v>
      </c>
      <c r="AB107" s="49"/>
      <c r="AC107" s="49">
        <v>0</v>
      </c>
      <c r="AD107" s="49"/>
      <c r="AE107" s="49">
        <v>0</v>
      </c>
      <c r="AF107" s="49"/>
      <c r="AG107" s="49">
        <v>0</v>
      </c>
      <c r="AH107" s="49"/>
      <c r="AI107" s="49">
        <f t="shared" si="6"/>
        <v>502309.69</v>
      </c>
      <c r="AJ107" s="8"/>
      <c r="AK107" s="6" t="str">
        <f>'Gen Rev'!A107</f>
        <v>Camden</v>
      </c>
      <c r="AL107" s="6" t="str">
        <f t="shared" si="4"/>
        <v>Camden</v>
      </c>
      <c r="AM107" s="6" t="b">
        <f t="shared" si="5"/>
        <v>1</v>
      </c>
    </row>
    <row r="108" spans="1:42" ht="12" customHeight="1" x14ac:dyDescent="0.2">
      <c r="A108" s="6" t="s">
        <v>156</v>
      </c>
      <c r="C108" s="6" t="s">
        <v>226</v>
      </c>
      <c r="E108" s="49">
        <v>326248.05</v>
      </c>
      <c r="F108" s="49"/>
      <c r="G108" s="49">
        <v>601361.26</v>
      </c>
      <c r="H108" s="49"/>
      <c r="I108" s="49">
        <v>109590.39</v>
      </c>
      <c r="J108" s="49"/>
      <c r="K108" s="49">
        <v>330.24</v>
      </c>
      <c r="L108" s="49"/>
      <c r="M108" s="49">
        <v>140133.67000000001</v>
      </c>
      <c r="N108" s="49"/>
      <c r="O108" s="49">
        <v>45598.73</v>
      </c>
      <c r="P108" s="49"/>
      <c r="Q108" s="49">
        <v>1732.07</v>
      </c>
      <c r="R108" s="49"/>
      <c r="S108" s="49">
        <v>12715.03</v>
      </c>
      <c r="T108" s="49"/>
      <c r="U108" s="49">
        <v>0</v>
      </c>
      <c r="V108" s="49"/>
      <c r="W108" s="49">
        <v>0</v>
      </c>
      <c r="X108" s="49"/>
      <c r="Y108" s="49">
        <v>0</v>
      </c>
      <c r="Z108" s="49"/>
      <c r="AA108" s="49">
        <v>200000</v>
      </c>
      <c r="AB108" s="49"/>
      <c r="AC108" s="49">
        <v>0</v>
      </c>
      <c r="AD108" s="49"/>
      <c r="AE108" s="49">
        <v>0</v>
      </c>
      <c r="AF108" s="49"/>
      <c r="AG108" s="49">
        <v>0</v>
      </c>
      <c r="AH108" s="49"/>
      <c r="AI108" s="49">
        <f t="shared" si="6"/>
        <v>1437709.4400000002</v>
      </c>
      <c r="AJ108" s="8"/>
      <c r="AK108" s="6" t="str">
        <f>'Gen Rev'!A108</f>
        <v>Cardington</v>
      </c>
      <c r="AL108" s="6" t="str">
        <f t="shared" si="4"/>
        <v>Cardington</v>
      </c>
      <c r="AM108" s="6" t="b">
        <f t="shared" si="5"/>
        <v>1</v>
      </c>
      <c r="AN108" s="14"/>
      <c r="AO108" s="14"/>
      <c r="AP108" s="14"/>
    </row>
    <row r="109" spans="1:42" s="14" customFormat="1" ht="12" customHeight="1" x14ac:dyDescent="0.2">
      <c r="A109" s="6" t="s">
        <v>565</v>
      </c>
      <c r="B109" s="6"/>
      <c r="C109" s="6" t="s">
        <v>566</v>
      </c>
      <c r="D109" s="6"/>
      <c r="E109" s="49">
        <f>84270+298032</f>
        <v>382302</v>
      </c>
      <c r="F109" s="49"/>
      <c r="G109" s="49">
        <v>775781</v>
      </c>
      <c r="H109" s="49"/>
      <c r="I109" s="49">
        <v>290320</v>
      </c>
      <c r="J109" s="49"/>
      <c r="K109" s="49">
        <v>0</v>
      </c>
      <c r="L109" s="49"/>
      <c r="M109" s="49">
        <v>66516</v>
      </c>
      <c r="N109" s="49"/>
      <c r="O109" s="49">
        <f>3305+8292</f>
        <v>11597</v>
      </c>
      <c r="P109" s="49"/>
      <c r="Q109" s="49">
        <v>44878</v>
      </c>
      <c r="R109" s="49"/>
      <c r="S109" s="49">
        <f>19440+11026+56387</f>
        <v>86853</v>
      </c>
      <c r="T109" s="49"/>
      <c r="U109" s="49">
        <v>0</v>
      </c>
      <c r="V109" s="49"/>
      <c r="W109" s="49">
        <v>0</v>
      </c>
      <c r="X109" s="49"/>
      <c r="Y109" s="49">
        <v>18590</v>
      </c>
      <c r="Z109" s="49"/>
      <c r="AA109" s="49">
        <v>0</v>
      </c>
      <c r="AB109" s="49"/>
      <c r="AC109" s="49">
        <v>0</v>
      </c>
      <c r="AD109" s="49"/>
      <c r="AE109" s="49">
        <v>0</v>
      </c>
      <c r="AF109" s="49"/>
      <c r="AG109" s="49">
        <v>0</v>
      </c>
      <c r="AH109" s="49"/>
      <c r="AI109" s="49">
        <f t="shared" si="6"/>
        <v>1676837</v>
      </c>
      <c r="AJ109" s="8"/>
      <c r="AK109" s="6" t="str">
        <f>'Gen Rev'!A109</f>
        <v>Carey</v>
      </c>
      <c r="AL109" s="6" t="str">
        <f t="shared" si="4"/>
        <v>Carey</v>
      </c>
      <c r="AM109" s="6" t="b">
        <f t="shared" si="5"/>
        <v>1</v>
      </c>
      <c r="AN109" s="15"/>
      <c r="AO109" s="15"/>
      <c r="AP109" s="15"/>
    </row>
    <row r="110" spans="1:42" s="14" customFormat="1" ht="12" customHeight="1" x14ac:dyDescent="0.2">
      <c r="A110" s="6" t="s">
        <v>816</v>
      </c>
      <c r="B110" s="6"/>
      <c r="C110" s="6" t="s">
        <v>541</v>
      </c>
      <c r="D110" s="6"/>
      <c r="E110" s="49">
        <f>190396+351135</f>
        <v>541531</v>
      </c>
      <c r="F110" s="49"/>
      <c r="G110" s="49">
        <v>926853</v>
      </c>
      <c r="H110" s="49"/>
      <c r="I110" s="49">
        <v>516196</v>
      </c>
      <c r="J110" s="49"/>
      <c r="K110" s="49">
        <v>40413</v>
      </c>
      <c r="L110" s="49"/>
      <c r="M110" s="49">
        <v>0</v>
      </c>
      <c r="N110" s="49"/>
      <c r="O110" s="49">
        <f>121091+50785</f>
        <v>171876</v>
      </c>
      <c r="P110" s="49"/>
      <c r="Q110" s="49">
        <v>1179</v>
      </c>
      <c r="R110" s="49"/>
      <c r="S110" s="49">
        <v>178604</v>
      </c>
      <c r="T110" s="49"/>
      <c r="U110" s="49">
        <v>0</v>
      </c>
      <c r="V110" s="49"/>
      <c r="W110" s="49">
        <v>1748700</v>
      </c>
      <c r="X110" s="49"/>
      <c r="Y110" s="49">
        <v>0</v>
      </c>
      <c r="Z110" s="49"/>
      <c r="AA110" s="49">
        <v>156000</v>
      </c>
      <c r="AB110" s="49"/>
      <c r="AC110" s="49">
        <v>0</v>
      </c>
      <c r="AD110" s="49"/>
      <c r="AE110" s="49">
        <v>0</v>
      </c>
      <c r="AF110" s="49"/>
      <c r="AG110" s="49">
        <v>0</v>
      </c>
      <c r="AH110" s="49"/>
      <c r="AI110" s="49">
        <f t="shared" si="6"/>
        <v>4281352</v>
      </c>
      <c r="AJ110" s="8"/>
      <c r="AK110" s="6" t="str">
        <f>'Gen Rev'!A110</f>
        <v>Carlisle</v>
      </c>
      <c r="AL110" s="6" t="str">
        <f t="shared" si="4"/>
        <v>Carlisle</v>
      </c>
      <c r="AM110" s="6" t="b">
        <f t="shared" si="5"/>
        <v>1</v>
      </c>
      <c r="AN110" s="15"/>
      <c r="AO110" s="15"/>
      <c r="AP110" s="15"/>
    </row>
    <row r="111" spans="1:42" ht="12" customHeight="1" x14ac:dyDescent="0.2">
      <c r="A111" s="6" t="s">
        <v>57</v>
      </c>
      <c r="C111" s="6" t="s">
        <v>327</v>
      </c>
      <c r="E111" s="49">
        <v>22216.91</v>
      </c>
      <c r="F111" s="49"/>
      <c r="G111" s="49">
        <v>154786.84</v>
      </c>
      <c r="H111" s="49"/>
      <c r="I111" s="49">
        <v>43629.67</v>
      </c>
      <c r="J111" s="49"/>
      <c r="K111" s="49">
        <v>0</v>
      </c>
      <c r="L111" s="49"/>
      <c r="M111" s="49">
        <v>13750</v>
      </c>
      <c r="N111" s="49"/>
      <c r="O111" s="49">
        <v>17974.689999999999</v>
      </c>
      <c r="P111" s="49"/>
      <c r="Q111" s="49">
        <v>1022.41</v>
      </c>
      <c r="R111" s="49"/>
      <c r="S111" s="49">
        <v>7227.41</v>
      </c>
      <c r="T111" s="49"/>
      <c r="U111" s="49">
        <v>0</v>
      </c>
      <c r="V111" s="49"/>
      <c r="W111" s="49">
        <v>0</v>
      </c>
      <c r="X111" s="49"/>
      <c r="Y111" s="49">
        <v>0</v>
      </c>
      <c r="Z111" s="49"/>
      <c r="AA111" s="49">
        <v>0</v>
      </c>
      <c r="AB111" s="49"/>
      <c r="AC111" s="49">
        <v>0</v>
      </c>
      <c r="AD111" s="49"/>
      <c r="AE111" s="49">
        <v>0</v>
      </c>
      <c r="AF111" s="49"/>
      <c r="AG111" s="49">
        <v>0</v>
      </c>
      <c r="AH111" s="49"/>
      <c r="AI111" s="49">
        <f t="shared" si="6"/>
        <v>260607.93</v>
      </c>
      <c r="AJ111" s="8"/>
      <c r="AK111" s="6" t="str">
        <f>'Gen Rev'!A111</f>
        <v>Carroll</v>
      </c>
      <c r="AL111" s="6" t="str">
        <f t="shared" si="4"/>
        <v>Carroll</v>
      </c>
      <c r="AM111" s="6" t="b">
        <f t="shared" si="5"/>
        <v>1</v>
      </c>
      <c r="AN111" s="13"/>
      <c r="AO111" s="13"/>
      <c r="AP111" s="13"/>
    </row>
    <row r="112" spans="1:42" s="14" customFormat="1" ht="12" customHeight="1" x14ac:dyDescent="0.2">
      <c r="A112" s="6" t="s">
        <v>267</v>
      </c>
      <c r="B112" s="6"/>
      <c r="C112" s="6" t="s">
        <v>57</v>
      </c>
      <c r="D112" s="6"/>
      <c r="E112" s="49">
        <v>307568</v>
      </c>
      <c r="F112" s="49"/>
      <c r="G112" s="49">
        <v>1033030</v>
      </c>
      <c r="H112" s="49"/>
      <c r="I112" s="49">
        <v>344315</v>
      </c>
      <c r="J112" s="49"/>
      <c r="K112" s="49">
        <v>42214</v>
      </c>
      <c r="L112" s="49"/>
      <c r="M112" s="49">
        <v>35446</v>
      </c>
      <c r="N112" s="49"/>
      <c r="O112" s="49">
        <v>123366</v>
      </c>
      <c r="P112" s="49"/>
      <c r="Q112" s="49">
        <v>907</v>
      </c>
      <c r="R112" s="49"/>
      <c r="S112" s="49">
        <v>45694</v>
      </c>
      <c r="T112" s="49"/>
      <c r="U112" s="49">
        <v>0</v>
      </c>
      <c r="V112" s="49"/>
      <c r="W112" s="49">
        <v>0</v>
      </c>
      <c r="X112" s="49"/>
      <c r="Y112" s="49">
        <v>0</v>
      </c>
      <c r="Z112" s="49"/>
      <c r="AA112" s="49">
        <v>0</v>
      </c>
      <c r="AB112" s="49"/>
      <c r="AC112" s="49">
        <v>0</v>
      </c>
      <c r="AD112" s="49"/>
      <c r="AE112" s="49">
        <v>0</v>
      </c>
      <c r="AF112" s="49"/>
      <c r="AG112" s="49">
        <v>0</v>
      </c>
      <c r="AH112" s="49"/>
      <c r="AI112" s="49">
        <f t="shared" si="6"/>
        <v>1932540</v>
      </c>
      <c r="AJ112" s="8"/>
      <c r="AK112" s="6" t="str">
        <f>'Gen Rev'!A112</f>
        <v>Carrollton</v>
      </c>
      <c r="AL112" s="6" t="str">
        <f t="shared" si="4"/>
        <v>Carrollton</v>
      </c>
      <c r="AM112" s="6" t="b">
        <f t="shared" si="5"/>
        <v>1</v>
      </c>
    </row>
    <row r="113" spans="1:42" s="14" customFormat="1" ht="12" customHeight="1" x14ac:dyDescent="0.2">
      <c r="A113" s="6" t="s">
        <v>795</v>
      </c>
      <c r="B113" s="6"/>
      <c r="C113" s="6" t="s">
        <v>437</v>
      </c>
      <c r="D113" s="6"/>
      <c r="E113" s="49">
        <v>20380.740000000002</v>
      </c>
      <c r="F113" s="49"/>
      <c r="G113" s="49">
        <v>0</v>
      </c>
      <c r="H113" s="49"/>
      <c r="I113" s="49">
        <v>32201.58</v>
      </c>
      <c r="J113" s="49"/>
      <c r="K113" s="49">
        <v>0</v>
      </c>
      <c r="L113" s="49"/>
      <c r="M113" s="49">
        <v>46727.41</v>
      </c>
      <c r="N113" s="49"/>
      <c r="O113" s="49">
        <v>1878.11</v>
      </c>
      <c r="P113" s="49"/>
      <c r="Q113" s="49">
        <v>368.67</v>
      </c>
      <c r="R113" s="49"/>
      <c r="S113" s="49">
        <v>265.56</v>
      </c>
      <c r="T113" s="49"/>
      <c r="U113" s="49">
        <v>0</v>
      </c>
      <c r="V113" s="49"/>
      <c r="W113" s="49">
        <v>0</v>
      </c>
      <c r="X113" s="49"/>
      <c r="Y113" s="49">
        <v>0</v>
      </c>
      <c r="Z113" s="49"/>
      <c r="AA113" s="49">
        <v>0</v>
      </c>
      <c r="AB113" s="49"/>
      <c r="AC113" s="49">
        <v>0</v>
      </c>
      <c r="AD113" s="49"/>
      <c r="AE113" s="49">
        <v>0</v>
      </c>
      <c r="AF113" s="49"/>
      <c r="AG113" s="49">
        <v>0</v>
      </c>
      <c r="AH113" s="49"/>
      <c r="AI113" s="49">
        <f t="shared" si="6"/>
        <v>101822.07</v>
      </c>
      <c r="AJ113" s="8"/>
      <c r="AK113" s="6" t="str">
        <f>'Gen Rev'!A113</f>
        <v>Casstown</v>
      </c>
      <c r="AL113" s="6" t="str">
        <f t="shared" si="4"/>
        <v>Casstown</v>
      </c>
      <c r="AM113" s="6" t="b">
        <f t="shared" si="5"/>
        <v>1</v>
      </c>
      <c r="AN113" s="12"/>
      <c r="AO113" s="12"/>
      <c r="AP113" s="12"/>
    </row>
    <row r="114" spans="1:42" s="14" customFormat="1" ht="12" customHeight="1" x14ac:dyDescent="0.2">
      <c r="A114" s="6" t="s">
        <v>55</v>
      </c>
      <c r="B114" s="6"/>
      <c r="C114" s="6" t="s">
        <v>325</v>
      </c>
      <c r="D114" s="6"/>
      <c r="E114" s="49">
        <v>119971.49</v>
      </c>
      <c r="F114" s="49"/>
      <c r="G114" s="49">
        <v>0</v>
      </c>
      <c r="H114" s="49"/>
      <c r="I114" s="49">
        <v>75626.149999999994</v>
      </c>
      <c r="J114" s="49"/>
      <c r="K114" s="49">
        <v>0.02</v>
      </c>
      <c r="L114" s="49"/>
      <c r="M114" s="49">
        <v>0</v>
      </c>
      <c r="N114" s="49"/>
      <c r="O114" s="49">
        <v>20430.919999999998</v>
      </c>
      <c r="P114" s="49"/>
      <c r="Q114" s="49">
        <v>311.76</v>
      </c>
      <c r="R114" s="49"/>
      <c r="S114" s="49">
        <v>3402.09</v>
      </c>
      <c r="T114" s="49"/>
      <c r="U114" s="49">
        <v>0</v>
      </c>
      <c r="V114" s="49"/>
      <c r="W114" s="49">
        <v>0</v>
      </c>
      <c r="X114" s="49"/>
      <c r="Y114" s="49">
        <v>0</v>
      </c>
      <c r="Z114" s="49"/>
      <c r="AA114" s="49">
        <v>10000</v>
      </c>
      <c r="AB114" s="49"/>
      <c r="AC114" s="49">
        <v>0</v>
      </c>
      <c r="AD114" s="49"/>
      <c r="AE114" s="49">
        <v>172.43</v>
      </c>
      <c r="AF114" s="49"/>
      <c r="AG114" s="49">
        <v>0</v>
      </c>
      <c r="AH114" s="49"/>
      <c r="AI114" s="49">
        <f t="shared" si="6"/>
        <v>229914.86000000002</v>
      </c>
      <c r="AJ114" s="8"/>
      <c r="AK114" s="6" t="str">
        <f>'Gen Rev'!A114</f>
        <v>Castalia</v>
      </c>
      <c r="AL114" s="6" t="str">
        <f t="shared" si="4"/>
        <v>Castalia</v>
      </c>
      <c r="AM114" s="6" t="b">
        <f t="shared" si="5"/>
        <v>1</v>
      </c>
      <c r="AN114" s="12"/>
      <c r="AO114" s="12"/>
      <c r="AP114" s="12"/>
    </row>
    <row r="115" spans="1:42" s="14" customFormat="1" ht="12" customHeight="1" x14ac:dyDescent="0.2">
      <c r="A115" s="6" t="s">
        <v>33</v>
      </c>
      <c r="B115" s="6"/>
      <c r="C115" s="6" t="s">
        <v>274</v>
      </c>
      <c r="D115" s="6"/>
      <c r="E115" s="49">
        <v>4547</v>
      </c>
      <c r="F115" s="49"/>
      <c r="G115" s="49">
        <v>42820.04</v>
      </c>
      <c r="H115" s="49"/>
      <c r="I115" s="49">
        <v>20012.25</v>
      </c>
      <c r="J115" s="49"/>
      <c r="K115" s="49">
        <v>0</v>
      </c>
      <c r="L115" s="49"/>
      <c r="M115" s="49">
        <v>0</v>
      </c>
      <c r="N115" s="49"/>
      <c r="O115" s="49">
        <v>15668</v>
      </c>
      <c r="P115" s="49"/>
      <c r="Q115" s="49">
        <v>0</v>
      </c>
      <c r="R115" s="49"/>
      <c r="S115" s="49">
        <v>3240.6</v>
      </c>
      <c r="T115" s="49"/>
      <c r="U115" s="49">
        <v>0</v>
      </c>
      <c r="V115" s="49"/>
      <c r="W115" s="49">
        <v>0</v>
      </c>
      <c r="X115" s="49"/>
      <c r="Y115" s="49">
        <v>0</v>
      </c>
      <c r="Z115" s="49"/>
      <c r="AA115" s="49">
        <v>0</v>
      </c>
      <c r="AB115" s="49"/>
      <c r="AC115" s="49">
        <v>0</v>
      </c>
      <c r="AD115" s="49"/>
      <c r="AE115" s="49">
        <v>0</v>
      </c>
      <c r="AF115" s="49"/>
      <c r="AG115" s="49">
        <v>0</v>
      </c>
      <c r="AH115" s="49"/>
      <c r="AI115" s="49">
        <f t="shared" si="6"/>
        <v>86287.890000000014</v>
      </c>
      <c r="AJ115" s="8"/>
      <c r="AK115" s="6" t="str">
        <f>'Gen Rev'!A115</f>
        <v>Catawba</v>
      </c>
      <c r="AL115" s="6" t="str">
        <f t="shared" si="4"/>
        <v>Catawba</v>
      </c>
      <c r="AM115" s="6" t="b">
        <f t="shared" si="5"/>
        <v>1</v>
      </c>
      <c r="AN115" s="12"/>
      <c r="AO115" s="12"/>
      <c r="AP115" s="12"/>
    </row>
    <row r="116" spans="1:42" ht="12" customHeight="1" x14ac:dyDescent="0.2">
      <c r="A116" s="6" t="s">
        <v>168</v>
      </c>
      <c r="C116" s="6" t="s">
        <v>460</v>
      </c>
      <c r="E116" s="49">
        <v>3328.25</v>
      </c>
      <c r="F116" s="49"/>
      <c r="G116" s="49">
        <v>14960.85</v>
      </c>
      <c r="H116" s="49"/>
      <c r="I116" s="49">
        <v>22520.799999999999</v>
      </c>
      <c r="J116" s="49"/>
      <c r="K116" s="49">
        <v>0</v>
      </c>
      <c r="L116" s="49"/>
      <c r="M116" s="49">
        <v>425</v>
      </c>
      <c r="N116" s="49"/>
      <c r="O116" s="49">
        <v>988.97</v>
      </c>
      <c r="P116" s="49"/>
      <c r="Q116" s="49">
        <v>14.32</v>
      </c>
      <c r="R116" s="49"/>
      <c r="S116" s="49">
        <v>221.4</v>
      </c>
      <c r="T116" s="49"/>
      <c r="U116" s="49">
        <v>0</v>
      </c>
      <c r="V116" s="49"/>
      <c r="W116" s="49">
        <v>0</v>
      </c>
      <c r="X116" s="49"/>
      <c r="Y116" s="49">
        <v>0</v>
      </c>
      <c r="Z116" s="49"/>
      <c r="AA116" s="49">
        <v>0</v>
      </c>
      <c r="AB116" s="49"/>
      <c r="AC116" s="49">
        <v>0</v>
      </c>
      <c r="AD116" s="49"/>
      <c r="AE116" s="49">
        <v>0</v>
      </c>
      <c r="AF116" s="49"/>
      <c r="AG116" s="49">
        <v>0</v>
      </c>
      <c r="AH116" s="49"/>
      <c r="AI116" s="49">
        <f t="shared" si="6"/>
        <v>42459.59</v>
      </c>
      <c r="AJ116" s="8"/>
      <c r="AK116" s="6" t="str">
        <f>'Gen Rev'!A116</f>
        <v>Cecil</v>
      </c>
      <c r="AL116" s="6" t="str">
        <f t="shared" si="4"/>
        <v>Cecil</v>
      </c>
      <c r="AM116" s="6" t="b">
        <f t="shared" si="5"/>
        <v>1</v>
      </c>
      <c r="AN116" s="13"/>
      <c r="AO116" s="13"/>
      <c r="AP116" s="13"/>
    </row>
    <row r="117" spans="1:42" ht="12" customHeight="1" x14ac:dyDescent="0.2">
      <c r="A117" s="6" t="s">
        <v>344</v>
      </c>
      <c r="C117" s="6" t="s">
        <v>345</v>
      </c>
      <c r="E117" s="49">
        <v>56542</v>
      </c>
      <c r="F117" s="49"/>
      <c r="G117" s="49">
        <v>551305</v>
      </c>
      <c r="H117" s="49"/>
      <c r="I117" s="49">
        <v>135603</v>
      </c>
      <c r="J117" s="49"/>
      <c r="K117" s="49">
        <v>0</v>
      </c>
      <c r="L117" s="49"/>
      <c r="M117" s="49">
        <v>5605</v>
      </c>
      <c r="N117" s="49"/>
      <c r="O117" s="49">
        <v>13377</v>
      </c>
      <c r="P117" s="49"/>
      <c r="Q117" s="49">
        <v>160</v>
      </c>
      <c r="R117" s="49"/>
      <c r="S117" s="49">
        <v>126917</v>
      </c>
      <c r="T117" s="49"/>
      <c r="U117" s="49">
        <v>0</v>
      </c>
      <c r="V117" s="49"/>
      <c r="W117" s="49">
        <v>0</v>
      </c>
      <c r="X117" s="49"/>
      <c r="Y117" s="49">
        <v>576</v>
      </c>
      <c r="Z117" s="49"/>
      <c r="AA117" s="49">
        <v>349500</v>
      </c>
      <c r="AB117" s="49"/>
      <c r="AC117" s="49">
        <v>23260</v>
      </c>
      <c r="AD117" s="49"/>
      <c r="AE117" s="49">
        <v>0</v>
      </c>
      <c r="AF117" s="49"/>
      <c r="AG117" s="49">
        <v>0</v>
      </c>
      <c r="AH117" s="49"/>
      <c r="AI117" s="49">
        <f t="shared" si="6"/>
        <v>1262845</v>
      </c>
      <c r="AJ117" s="8"/>
      <c r="AK117" s="6" t="str">
        <f>'Gen Rev'!A117</f>
        <v>Cedarville</v>
      </c>
      <c r="AL117" s="6" t="str">
        <f t="shared" si="4"/>
        <v>Cedarville</v>
      </c>
      <c r="AM117" s="6" t="b">
        <f t="shared" si="5"/>
        <v>1</v>
      </c>
    </row>
    <row r="118" spans="1:42" s="14" customFormat="1" ht="12" customHeight="1" x14ac:dyDescent="0.2">
      <c r="A118" s="6" t="s">
        <v>114</v>
      </c>
      <c r="B118" s="6"/>
      <c r="C118" s="6" t="s">
        <v>396</v>
      </c>
      <c r="D118" s="6"/>
      <c r="E118" s="49">
        <v>162832.76999999999</v>
      </c>
      <c r="F118" s="49"/>
      <c r="G118" s="49">
        <v>354689.26</v>
      </c>
      <c r="H118" s="49"/>
      <c r="I118" s="49">
        <v>217529.48</v>
      </c>
      <c r="J118" s="49"/>
      <c r="K118" s="49">
        <v>0</v>
      </c>
      <c r="L118" s="49"/>
      <c r="M118" s="49">
        <v>0</v>
      </c>
      <c r="N118" s="49"/>
      <c r="O118" s="49">
        <v>15511.17</v>
      </c>
      <c r="P118" s="49"/>
      <c r="Q118" s="49">
        <v>700.59</v>
      </c>
      <c r="R118" s="49"/>
      <c r="S118" s="49">
        <v>16508.77</v>
      </c>
      <c r="T118" s="49"/>
      <c r="U118" s="49">
        <v>0</v>
      </c>
      <c r="V118" s="49"/>
      <c r="W118" s="49">
        <v>0</v>
      </c>
      <c r="X118" s="49"/>
      <c r="Y118" s="49">
        <v>0</v>
      </c>
      <c r="Z118" s="49"/>
      <c r="AA118" s="49">
        <v>16.09</v>
      </c>
      <c r="AB118" s="49"/>
      <c r="AC118" s="49">
        <v>0</v>
      </c>
      <c r="AD118" s="49"/>
      <c r="AE118" s="49">
        <v>0</v>
      </c>
      <c r="AF118" s="49"/>
      <c r="AG118" s="49">
        <v>0</v>
      </c>
      <c r="AH118" s="49"/>
      <c r="AI118" s="49">
        <f t="shared" si="6"/>
        <v>767788.13</v>
      </c>
      <c r="AJ118" s="8"/>
      <c r="AK118" s="6" t="str">
        <f>'Gen Rev'!A118</f>
        <v>Centerburg</v>
      </c>
      <c r="AL118" s="6" t="str">
        <f t="shared" si="4"/>
        <v>Centerburg</v>
      </c>
      <c r="AM118" s="6" t="b">
        <f t="shared" si="5"/>
        <v>1</v>
      </c>
      <c r="AN118" s="6"/>
      <c r="AO118" s="6"/>
      <c r="AP118" s="6"/>
    </row>
    <row r="119" spans="1:42" s="14" customFormat="1" ht="12" customHeight="1" x14ac:dyDescent="0.2">
      <c r="A119" s="6" t="s">
        <v>709</v>
      </c>
      <c r="B119" s="6"/>
      <c r="C119" s="6" t="s">
        <v>338</v>
      </c>
      <c r="D119" s="6"/>
      <c r="E119" s="49">
        <v>84.47</v>
      </c>
      <c r="F119" s="49"/>
      <c r="G119" s="49">
        <v>0</v>
      </c>
      <c r="H119" s="49"/>
      <c r="I119" s="49">
        <v>65375.72</v>
      </c>
      <c r="J119" s="49"/>
      <c r="K119" s="49">
        <v>0</v>
      </c>
      <c r="L119" s="49"/>
      <c r="M119" s="49">
        <v>6248.64</v>
      </c>
      <c r="N119" s="49"/>
      <c r="O119" s="49">
        <v>9</v>
      </c>
      <c r="P119" s="49"/>
      <c r="Q119" s="49">
        <v>0</v>
      </c>
      <c r="R119" s="49"/>
      <c r="S119" s="49">
        <v>15319.83</v>
      </c>
      <c r="T119" s="49"/>
      <c r="U119" s="49">
        <v>0</v>
      </c>
      <c r="V119" s="49"/>
      <c r="W119" s="49">
        <v>0</v>
      </c>
      <c r="X119" s="49"/>
      <c r="Y119" s="49">
        <v>0</v>
      </c>
      <c r="Z119" s="49"/>
      <c r="AA119" s="49">
        <v>4216.8900000000003</v>
      </c>
      <c r="AB119" s="49"/>
      <c r="AC119" s="49">
        <v>0</v>
      </c>
      <c r="AD119" s="49"/>
      <c r="AE119" s="49">
        <v>6991.84</v>
      </c>
      <c r="AF119" s="49"/>
      <c r="AG119" s="49">
        <v>0</v>
      </c>
      <c r="AH119" s="49"/>
      <c r="AI119" s="49">
        <f t="shared" si="6"/>
        <v>98246.39</v>
      </c>
      <c r="AJ119" s="8"/>
      <c r="AK119" s="6" t="str">
        <f>'Gen Rev'!A119</f>
        <v>Centerville</v>
      </c>
      <c r="AL119" s="6" t="str">
        <f t="shared" si="4"/>
        <v>Centerville</v>
      </c>
      <c r="AM119" s="6" t="b">
        <f t="shared" si="5"/>
        <v>1</v>
      </c>
      <c r="AN119" s="15"/>
      <c r="AO119" s="15"/>
      <c r="AP119" s="15"/>
    </row>
    <row r="120" spans="1:42" ht="12" customHeight="1" x14ac:dyDescent="0.2">
      <c r="A120" s="6" t="s">
        <v>296</v>
      </c>
      <c r="C120" s="6" t="s">
        <v>293</v>
      </c>
      <c r="E120" s="49">
        <v>1530612</v>
      </c>
      <c r="F120" s="49"/>
      <c r="G120" s="49">
        <v>3142853</v>
      </c>
      <c r="H120" s="49"/>
      <c r="I120" s="49">
        <v>1330621</v>
      </c>
      <c r="J120" s="49"/>
      <c r="K120" s="49">
        <v>10821</v>
      </c>
      <c r="L120" s="49"/>
      <c r="M120" s="49">
        <v>973547</v>
      </c>
      <c r="N120" s="49"/>
      <c r="O120" s="49">
        <v>106274</v>
      </c>
      <c r="P120" s="49"/>
      <c r="Q120" s="49">
        <v>8764</v>
      </c>
      <c r="R120" s="49"/>
      <c r="S120" s="49">
        <v>226019</v>
      </c>
      <c r="T120" s="49"/>
      <c r="U120" s="49">
        <v>0</v>
      </c>
      <c r="V120" s="49"/>
      <c r="W120" s="49">
        <v>0</v>
      </c>
      <c r="X120" s="49"/>
      <c r="Y120" s="49">
        <v>0</v>
      </c>
      <c r="Z120" s="49"/>
      <c r="AA120" s="49">
        <v>1013287</v>
      </c>
      <c r="AB120" s="49"/>
      <c r="AC120" s="49">
        <v>20000</v>
      </c>
      <c r="AD120" s="49"/>
      <c r="AE120" s="49">
        <v>0</v>
      </c>
      <c r="AF120" s="49"/>
      <c r="AG120" s="49">
        <v>0</v>
      </c>
      <c r="AH120" s="49"/>
      <c r="AI120" s="49">
        <f t="shared" si="6"/>
        <v>8362798</v>
      </c>
      <c r="AJ120" s="8"/>
      <c r="AK120" s="6" t="str">
        <f>'Gen Rev'!A120</f>
        <v>Chagrin Falls</v>
      </c>
      <c r="AL120" s="6" t="str">
        <f t="shared" si="4"/>
        <v>Chagrin Falls</v>
      </c>
      <c r="AM120" s="6" t="b">
        <f t="shared" si="5"/>
        <v>1</v>
      </c>
      <c r="AN120" s="14"/>
      <c r="AO120" s="14"/>
      <c r="AP120" s="14"/>
    </row>
    <row r="121" spans="1:42" ht="12" customHeight="1" x14ac:dyDescent="0.2">
      <c r="A121" s="6" t="s">
        <v>288</v>
      </c>
      <c r="C121" s="6" t="s">
        <v>289</v>
      </c>
      <c r="E121" s="49">
        <f>2130+4606</f>
        <v>6736</v>
      </c>
      <c r="F121" s="49"/>
      <c r="G121" s="49">
        <v>0</v>
      </c>
      <c r="H121" s="49"/>
      <c r="I121" s="49">
        <f>5698+4301</f>
        <v>9999</v>
      </c>
      <c r="J121" s="49"/>
      <c r="K121" s="49">
        <v>0</v>
      </c>
      <c r="L121" s="49"/>
      <c r="M121" s="49">
        <v>0</v>
      </c>
      <c r="N121" s="49"/>
      <c r="O121" s="49">
        <v>10</v>
      </c>
      <c r="P121" s="49"/>
      <c r="Q121" s="49">
        <f>11+23</f>
        <v>34</v>
      </c>
      <c r="R121" s="49"/>
      <c r="S121" s="49">
        <v>110</v>
      </c>
      <c r="T121" s="49"/>
      <c r="U121" s="49">
        <v>0</v>
      </c>
      <c r="V121" s="49"/>
      <c r="W121" s="49">
        <v>0</v>
      </c>
      <c r="X121" s="49"/>
      <c r="Y121" s="49">
        <v>0</v>
      </c>
      <c r="Z121" s="49"/>
      <c r="AA121" s="49">
        <v>0</v>
      </c>
      <c r="AB121" s="49"/>
      <c r="AC121" s="49">
        <v>0</v>
      </c>
      <c r="AD121" s="49"/>
      <c r="AE121" s="49">
        <v>0</v>
      </c>
      <c r="AF121" s="49"/>
      <c r="AG121" s="49">
        <v>0</v>
      </c>
      <c r="AH121" s="49"/>
      <c r="AI121" s="49">
        <f t="shared" si="6"/>
        <v>16889</v>
      </c>
      <c r="AJ121" s="8"/>
      <c r="AK121" s="6" t="str">
        <f>'Gen Rev'!A121</f>
        <v>Chatfield</v>
      </c>
      <c r="AL121" s="6" t="str">
        <f t="shared" si="4"/>
        <v>Chatfield</v>
      </c>
      <c r="AM121" s="6" t="b">
        <f t="shared" si="5"/>
        <v>1</v>
      </c>
    </row>
    <row r="122" spans="1:42" s="14" customFormat="1" ht="12" customHeight="1" x14ac:dyDescent="0.2">
      <c r="A122" s="6" t="s">
        <v>255</v>
      </c>
      <c r="B122" s="6"/>
      <c r="C122" s="6" t="s">
        <v>253</v>
      </c>
      <c r="D122" s="6"/>
      <c r="E122" s="49">
        <v>44268.61</v>
      </c>
      <c r="F122" s="49"/>
      <c r="G122" s="49">
        <v>0</v>
      </c>
      <c r="H122" s="49"/>
      <c r="I122" s="49">
        <v>60377.03</v>
      </c>
      <c r="J122" s="49"/>
      <c r="K122" s="49">
        <v>0</v>
      </c>
      <c r="L122" s="49"/>
      <c r="M122" s="49">
        <v>0</v>
      </c>
      <c r="N122" s="49"/>
      <c r="O122" s="49">
        <v>515.4</v>
      </c>
      <c r="P122" s="49"/>
      <c r="Q122" s="49">
        <v>141.74</v>
      </c>
      <c r="R122" s="49"/>
      <c r="S122" s="49">
        <v>14757.24</v>
      </c>
      <c r="T122" s="49"/>
      <c r="U122" s="49">
        <v>0</v>
      </c>
      <c r="V122" s="49"/>
      <c r="W122" s="49">
        <v>0</v>
      </c>
      <c r="X122" s="49"/>
      <c r="Y122" s="49">
        <v>0</v>
      </c>
      <c r="Z122" s="49"/>
      <c r="AA122" s="49">
        <v>0</v>
      </c>
      <c r="AB122" s="49"/>
      <c r="AC122" s="49">
        <v>0</v>
      </c>
      <c r="AD122" s="49"/>
      <c r="AE122" s="49">
        <v>0</v>
      </c>
      <c r="AF122" s="49"/>
      <c r="AG122" s="49">
        <v>0</v>
      </c>
      <c r="AH122" s="49"/>
      <c r="AI122" s="49">
        <f t="shared" si="6"/>
        <v>120060.02</v>
      </c>
      <c r="AJ122" s="8"/>
      <c r="AK122" s="6" t="str">
        <f>'Gen Rev'!A122</f>
        <v>Chauncey</v>
      </c>
      <c r="AL122" s="6" t="str">
        <f t="shared" si="4"/>
        <v>Chauncey</v>
      </c>
      <c r="AM122" s="6" t="b">
        <f t="shared" si="5"/>
        <v>1</v>
      </c>
    </row>
    <row r="123" spans="1:42" ht="12" customHeight="1" x14ac:dyDescent="0.2">
      <c r="A123" s="6" t="s">
        <v>405</v>
      </c>
      <c r="C123" s="6" t="s">
        <v>406</v>
      </c>
      <c r="E123" s="49">
        <v>49974.28</v>
      </c>
      <c r="F123" s="49"/>
      <c r="G123" s="49">
        <v>0</v>
      </c>
      <c r="H123" s="49"/>
      <c r="I123" s="49">
        <v>77698.92</v>
      </c>
      <c r="J123" s="49"/>
      <c r="K123" s="49">
        <v>0</v>
      </c>
      <c r="L123" s="49"/>
      <c r="M123" s="49">
        <v>0</v>
      </c>
      <c r="N123" s="49"/>
      <c r="O123" s="49">
        <v>152327.54</v>
      </c>
      <c r="P123" s="49"/>
      <c r="Q123" s="49">
        <v>146.51</v>
      </c>
      <c r="R123" s="49"/>
      <c r="S123" s="49">
        <v>15539.33</v>
      </c>
      <c r="T123" s="49"/>
      <c r="U123" s="49">
        <v>0</v>
      </c>
      <c r="V123" s="49"/>
      <c r="W123" s="49">
        <v>0</v>
      </c>
      <c r="X123" s="49"/>
      <c r="Y123" s="49">
        <v>0</v>
      </c>
      <c r="Z123" s="49"/>
      <c r="AA123" s="49">
        <v>0</v>
      </c>
      <c r="AB123" s="49"/>
      <c r="AC123" s="49">
        <v>0</v>
      </c>
      <c r="AD123" s="49"/>
      <c r="AE123" s="49">
        <v>2053.73</v>
      </c>
      <c r="AF123" s="49"/>
      <c r="AG123" s="49">
        <v>0</v>
      </c>
      <c r="AH123" s="49"/>
      <c r="AI123" s="49">
        <f t="shared" si="6"/>
        <v>297740.31</v>
      </c>
      <c r="AJ123" s="8"/>
      <c r="AK123" s="6" t="str">
        <f>'Gen Rev'!A123</f>
        <v>Chesapeake</v>
      </c>
      <c r="AL123" s="6" t="str">
        <f t="shared" si="4"/>
        <v>Chesapeake</v>
      </c>
      <c r="AM123" s="6" t="b">
        <f t="shared" si="5"/>
        <v>1</v>
      </c>
      <c r="AN123" s="13"/>
      <c r="AO123" s="13"/>
      <c r="AP123" s="13"/>
    </row>
    <row r="124" spans="1:42" ht="12" customHeight="1" x14ac:dyDescent="0.2">
      <c r="A124" s="6" t="s">
        <v>74</v>
      </c>
      <c r="C124" s="6" t="s">
        <v>338</v>
      </c>
      <c r="E124" s="49">
        <v>768.57</v>
      </c>
      <c r="F124" s="49"/>
      <c r="G124" s="49">
        <v>0</v>
      </c>
      <c r="H124" s="49"/>
      <c r="I124" s="49">
        <v>56317.58</v>
      </c>
      <c r="J124" s="49"/>
      <c r="K124" s="49">
        <v>0</v>
      </c>
      <c r="L124" s="49"/>
      <c r="M124" s="49">
        <v>0</v>
      </c>
      <c r="N124" s="49"/>
      <c r="O124" s="49">
        <v>1115.53</v>
      </c>
      <c r="P124" s="49"/>
      <c r="Q124" s="49">
        <v>12.02</v>
      </c>
      <c r="R124" s="49"/>
      <c r="S124" s="49">
        <v>3038.3</v>
      </c>
      <c r="T124" s="49"/>
      <c r="U124" s="49">
        <v>0</v>
      </c>
      <c r="V124" s="49"/>
      <c r="W124" s="49">
        <v>0</v>
      </c>
      <c r="X124" s="49"/>
      <c r="Y124" s="49">
        <v>0</v>
      </c>
      <c r="Z124" s="49"/>
      <c r="AA124" s="49">
        <v>0</v>
      </c>
      <c r="AB124" s="49"/>
      <c r="AC124" s="49">
        <v>0</v>
      </c>
      <c r="AD124" s="49"/>
      <c r="AE124" s="49">
        <v>0</v>
      </c>
      <c r="AF124" s="49"/>
      <c r="AG124" s="49">
        <v>0</v>
      </c>
      <c r="AH124" s="49"/>
      <c r="AI124" s="49">
        <f t="shared" si="6"/>
        <v>61252</v>
      </c>
      <c r="AJ124" s="8"/>
      <c r="AK124" s="6" t="str">
        <f>'Gen Rev'!A124</f>
        <v>Cheshire</v>
      </c>
      <c r="AL124" s="6" t="str">
        <f t="shared" si="4"/>
        <v>Cheshire</v>
      </c>
      <c r="AM124" s="6" t="b">
        <f t="shared" si="5"/>
        <v>1</v>
      </c>
    </row>
    <row r="125" spans="1:42" ht="12" customHeight="1" x14ac:dyDescent="0.2">
      <c r="A125" s="6" t="s">
        <v>764</v>
      </c>
      <c r="C125" s="6" t="s">
        <v>765</v>
      </c>
      <c r="E125" s="49">
        <v>1406.8</v>
      </c>
      <c r="F125" s="49"/>
      <c r="G125" s="49">
        <v>0</v>
      </c>
      <c r="H125" s="49"/>
      <c r="I125" s="49">
        <v>5456</v>
      </c>
      <c r="J125" s="49"/>
      <c r="K125" s="49">
        <v>0</v>
      </c>
      <c r="L125" s="49"/>
      <c r="M125" s="49">
        <v>7676.95</v>
      </c>
      <c r="N125" s="49"/>
      <c r="O125" s="49">
        <v>0</v>
      </c>
      <c r="P125" s="49"/>
      <c r="Q125" s="49">
        <v>323.58</v>
      </c>
      <c r="R125" s="49"/>
      <c r="S125" s="49">
        <v>479</v>
      </c>
      <c r="T125" s="49"/>
      <c r="U125" s="49">
        <v>0</v>
      </c>
      <c r="V125" s="49"/>
      <c r="W125" s="49">
        <v>0</v>
      </c>
      <c r="X125" s="49"/>
      <c r="Y125" s="49">
        <v>0</v>
      </c>
      <c r="Z125" s="49"/>
      <c r="AA125" s="49">
        <v>0</v>
      </c>
      <c r="AB125" s="49"/>
      <c r="AC125" s="49">
        <v>0</v>
      </c>
      <c r="AD125" s="49"/>
      <c r="AE125" s="49">
        <v>0</v>
      </c>
      <c r="AF125" s="49"/>
      <c r="AG125" s="49">
        <v>0</v>
      </c>
      <c r="AH125" s="49"/>
      <c r="AI125" s="49">
        <f t="shared" si="6"/>
        <v>15342.33</v>
      </c>
      <c r="AJ125" s="8"/>
      <c r="AK125" s="6" t="str">
        <f>'Gen Rev'!A125</f>
        <v>Chesterhill</v>
      </c>
      <c r="AL125" s="6" t="str">
        <f t="shared" si="4"/>
        <v>Chesterhill</v>
      </c>
      <c r="AM125" s="6" t="b">
        <f t="shared" si="5"/>
        <v>1</v>
      </c>
      <c r="AN125" s="8"/>
      <c r="AO125" s="8"/>
      <c r="AP125" s="8"/>
    </row>
    <row r="126" spans="1:42" ht="12" customHeight="1" x14ac:dyDescent="0.2">
      <c r="A126" s="6" t="s">
        <v>157</v>
      </c>
      <c r="C126" s="6" t="s">
        <v>226</v>
      </c>
      <c r="E126" s="49">
        <v>32625.16</v>
      </c>
      <c r="F126" s="49"/>
      <c r="G126" s="49">
        <v>0</v>
      </c>
      <c r="H126" s="49"/>
      <c r="I126" s="49">
        <v>20027.939999999999</v>
      </c>
      <c r="J126" s="49"/>
      <c r="K126" s="49">
        <v>0</v>
      </c>
      <c r="L126" s="49"/>
      <c r="M126" s="49">
        <v>2111.4899999999998</v>
      </c>
      <c r="N126" s="49"/>
      <c r="O126" s="49">
        <v>2055.9699999999998</v>
      </c>
      <c r="P126" s="49"/>
      <c r="Q126" s="49">
        <v>11.03</v>
      </c>
      <c r="R126" s="49"/>
      <c r="S126" s="49">
        <v>0</v>
      </c>
      <c r="T126" s="49"/>
      <c r="U126" s="49">
        <v>0</v>
      </c>
      <c r="V126" s="49"/>
      <c r="W126" s="49">
        <v>0</v>
      </c>
      <c r="X126" s="49"/>
      <c r="Y126" s="49">
        <v>0</v>
      </c>
      <c r="Z126" s="49"/>
      <c r="AA126" s="49">
        <v>0</v>
      </c>
      <c r="AB126" s="49"/>
      <c r="AC126" s="49">
        <v>0</v>
      </c>
      <c r="AD126" s="49"/>
      <c r="AE126" s="49">
        <v>0</v>
      </c>
      <c r="AF126" s="49"/>
      <c r="AG126" s="49">
        <v>0</v>
      </c>
      <c r="AH126" s="49"/>
      <c r="AI126" s="49">
        <f t="shared" si="6"/>
        <v>56831.59</v>
      </c>
      <c r="AJ126" s="8"/>
      <c r="AK126" s="6" t="str">
        <f>'Gen Rev'!A126</f>
        <v>Chesterville</v>
      </c>
      <c r="AL126" s="6" t="str">
        <f t="shared" si="4"/>
        <v>Chesterville</v>
      </c>
      <c r="AM126" s="6" t="b">
        <f t="shared" si="5"/>
        <v>1</v>
      </c>
      <c r="AN126" s="14"/>
      <c r="AO126" s="14"/>
      <c r="AP126" s="14"/>
    </row>
    <row r="127" spans="1:42" s="14" customFormat="1" ht="12" customHeight="1" x14ac:dyDescent="0.2">
      <c r="A127" s="6" t="s">
        <v>721</v>
      </c>
      <c r="B127" s="6"/>
      <c r="C127" s="6" t="s">
        <v>433</v>
      </c>
      <c r="D127" s="6"/>
      <c r="E127" s="49">
        <v>34525.83</v>
      </c>
      <c r="F127" s="49"/>
      <c r="G127" s="49">
        <v>0</v>
      </c>
      <c r="H127" s="49"/>
      <c r="I127" s="49">
        <v>43876.959999999999</v>
      </c>
      <c r="J127" s="49"/>
      <c r="K127" s="49">
        <v>0</v>
      </c>
      <c r="L127" s="49"/>
      <c r="M127" s="49">
        <v>2221</v>
      </c>
      <c r="N127" s="49"/>
      <c r="O127" s="49">
        <v>200</v>
      </c>
      <c r="P127" s="49"/>
      <c r="Q127" s="49">
        <v>1526.83</v>
      </c>
      <c r="R127" s="49"/>
      <c r="S127" s="49">
        <v>2644.45</v>
      </c>
      <c r="T127" s="49"/>
      <c r="U127" s="49">
        <v>0</v>
      </c>
      <c r="V127" s="49"/>
      <c r="W127" s="49">
        <v>0</v>
      </c>
      <c r="X127" s="49"/>
      <c r="Y127" s="49">
        <v>1621</v>
      </c>
      <c r="Z127" s="49"/>
      <c r="AA127" s="49">
        <v>0</v>
      </c>
      <c r="AB127" s="49"/>
      <c r="AC127" s="49">
        <v>0</v>
      </c>
      <c r="AD127" s="49"/>
      <c r="AE127" s="49">
        <v>0</v>
      </c>
      <c r="AF127" s="49"/>
      <c r="AG127" s="49">
        <v>0</v>
      </c>
      <c r="AH127" s="49"/>
      <c r="AI127" s="49">
        <f t="shared" si="6"/>
        <v>86616.07</v>
      </c>
      <c r="AJ127" s="8"/>
      <c r="AK127" s="6" t="str">
        <f>'Gen Rev'!A127</f>
        <v>Chickasaw</v>
      </c>
      <c r="AL127" s="6" t="str">
        <f t="shared" si="4"/>
        <v>Chickasaw</v>
      </c>
      <c r="AM127" s="6" t="b">
        <f t="shared" si="5"/>
        <v>1</v>
      </c>
      <c r="AN127" s="6"/>
      <c r="AO127" s="6"/>
      <c r="AP127" s="6"/>
    </row>
    <row r="128" spans="1:42" ht="12" customHeight="1" x14ac:dyDescent="0.2">
      <c r="A128" s="6" t="s">
        <v>766</v>
      </c>
      <c r="C128" s="6" t="s">
        <v>277</v>
      </c>
      <c r="E128" s="49">
        <v>2376</v>
      </c>
      <c r="F128" s="49"/>
      <c r="G128" s="49">
        <v>0</v>
      </c>
      <c r="H128" s="49"/>
      <c r="I128" s="49">
        <f>9465+3753</f>
        <v>13218</v>
      </c>
      <c r="J128" s="49"/>
      <c r="K128" s="49">
        <v>0</v>
      </c>
      <c r="L128" s="49"/>
      <c r="M128" s="49">
        <v>0</v>
      </c>
      <c r="N128" s="49"/>
      <c r="O128" s="49">
        <v>0</v>
      </c>
      <c r="P128" s="49"/>
      <c r="Q128" s="49">
        <v>27</v>
      </c>
      <c r="R128" s="49"/>
      <c r="S128" s="49">
        <v>2595</v>
      </c>
      <c r="T128" s="49"/>
      <c r="U128" s="49">
        <v>0</v>
      </c>
      <c r="V128" s="49"/>
      <c r="W128" s="49">
        <v>0</v>
      </c>
      <c r="X128" s="49"/>
      <c r="Y128" s="49">
        <v>0</v>
      </c>
      <c r="Z128" s="49"/>
      <c r="AA128" s="49">
        <v>0</v>
      </c>
      <c r="AB128" s="49"/>
      <c r="AC128" s="49">
        <v>0</v>
      </c>
      <c r="AD128" s="49"/>
      <c r="AE128" s="49">
        <v>0</v>
      </c>
      <c r="AF128" s="49"/>
      <c r="AG128" s="49">
        <v>0</v>
      </c>
      <c r="AH128" s="49"/>
      <c r="AI128" s="49">
        <f t="shared" si="6"/>
        <v>18216</v>
      </c>
      <c r="AJ128" s="8"/>
      <c r="AK128" s="6" t="str">
        <f>'Gen Rev'!A128</f>
        <v>Chilo</v>
      </c>
      <c r="AL128" s="6" t="str">
        <f t="shared" si="4"/>
        <v>Chilo</v>
      </c>
      <c r="AM128" s="6" t="b">
        <f t="shared" si="5"/>
        <v>1</v>
      </c>
    </row>
    <row r="129" spans="1:42" ht="12" customHeight="1" x14ac:dyDescent="0.2">
      <c r="A129" s="6" t="s">
        <v>142</v>
      </c>
      <c r="C129" s="6" t="s">
        <v>823</v>
      </c>
      <c r="E129" s="49">
        <v>128718.7</v>
      </c>
      <c r="F129" s="49"/>
      <c r="G129" s="49">
        <v>0</v>
      </c>
      <c r="H129" s="49"/>
      <c r="I129" s="49">
        <v>84897.64</v>
      </c>
      <c r="J129" s="49"/>
      <c r="K129" s="49">
        <v>0</v>
      </c>
      <c r="L129" s="49"/>
      <c r="M129" s="49">
        <v>0</v>
      </c>
      <c r="N129" s="49"/>
      <c r="O129" s="49">
        <v>1085</v>
      </c>
      <c r="P129" s="49"/>
      <c r="Q129" s="49">
        <v>117.5</v>
      </c>
      <c r="R129" s="49"/>
      <c r="S129" s="49">
        <v>14309.42</v>
      </c>
      <c r="T129" s="49"/>
      <c r="U129" s="49">
        <v>0</v>
      </c>
      <c r="V129" s="49"/>
      <c r="W129" s="49">
        <v>0</v>
      </c>
      <c r="X129" s="49"/>
      <c r="Y129" s="49">
        <v>0</v>
      </c>
      <c r="Z129" s="49"/>
      <c r="AA129" s="49">
        <v>0</v>
      </c>
      <c r="AB129" s="49"/>
      <c r="AC129" s="49">
        <v>0</v>
      </c>
      <c r="AD129" s="49"/>
      <c r="AE129" s="49">
        <v>0</v>
      </c>
      <c r="AF129" s="49"/>
      <c r="AG129" s="49">
        <v>0</v>
      </c>
      <c r="AH129" s="49"/>
      <c r="AI129" s="49">
        <f t="shared" si="6"/>
        <v>229128.26</v>
      </c>
      <c r="AJ129" s="8"/>
      <c r="AK129" s="6" t="str">
        <f>'Gen Rev'!A129</f>
        <v>Chippewa Lake</v>
      </c>
      <c r="AL129" s="6" t="str">
        <f t="shared" si="4"/>
        <v>Chippewa Lake</v>
      </c>
      <c r="AM129" s="6" t="b">
        <f t="shared" si="5"/>
        <v>1</v>
      </c>
      <c r="AN129" s="14"/>
      <c r="AO129" s="14"/>
      <c r="AP129" s="14"/>
    </row>
    <row r="130" spans="1:42" ht="12" customHeight="1" x14ac:dyDescent="0.2">
      <c r="A130" s="6" t="s">
        <v>31</v>
      </c>
      <c r="C130" s="6" t="s">
        <v>269</v>
      </c>
      <c r="E130" s="49">
        <v>44108.05</v>
      </c>
      <c r="F130" s="49"/>
      <c r="G130" s="49">
        <v>0</v>
      </c>
      <c r="H130" s="49"/>
      <c r="I130" s="49">
        <v>47087.55</v>
      </c>
      <c r="J130" s="49"/>
      <c r="K130" s="49">
        <v>0</v>
      </c>
      <c r="L130" s="49"/>
      <c r="M130" s="49">
        <v>7349.04</v>
      </c>
      <c r="N130" s="49"/>
      <c r="O130" s="49">
        <v>5</v>
      </c>
      <c r="P130" s="49"/>
      <c r="Q130" s="49">
        <v>501.9</v>
      </c>
      <c r="R130" s="49"/>
      <c r="S130" s="49">
        <v>1548.43</v>
      </c>
      <c r="T130" s="49"/>
      <c r="U130" s="49">
        <v>0</v>
      </c>
      <c r="V130" s="49"/>
      <c r="W130" s="49">
        <v>0</v>
      </c>
      <c r="X130" s="49"/>
      <c r="Y130" s="49">
        <v>0</v>
      </c>
      <c r="Z130" s="49"/>
      <c r="AA130" s="49">
        <v>0</v>
      </c>
      <c r="AB130" s="49"/>
      <c r="AC130" s="49">
        <v>0</v>
      </c>
      <c r="AD130" s="49"/>
      <c r="AE130" s="49">
        <v>236320</v>
      </c>
      <c r="AF130" s="49"/>
      <c r="AG130" s="49">
        <v>0</v>
      </c>
      <c r="AH130" s="49"/>
      <c r="AI130" s="49">
        <f t="shared" si="6"/>
        <v>336919.97</v>
      </c>
      <c r="AJ130" s="8"/>
      <c r="AK130" s="6" t="str">
        <f>'Gen Rev'!A130</f>
        <v>Christiansburg</v>
      </c>
      <c r="AL130" s="6" t="str">
        <f t="shared" si="4"/>
        <v>Christiansburg</v>
      </c>
      <c r="AM130" s="6" t="b">
        <f t="shared" si="5"/>
        <v>1</v>
      </c>
    </row>
    <row r="131" spans="1:42" ht="12" customHeight="1" x14ac:dyDescent="0.2">
      <c r="A131" s="6" t="s">
        <v>845</v>
      </c>
      <c r="C131" s="6" t="s">
        <v>441</v>
      </c>
      <c r="E131" s="49">
        <v>0</v>
      </c>
      <c r="F131" s="49"/>
      <c r="G131" s="49">
        <v>0</v>
      </c>
      <c r="H131" s="49"/>
      <c r="I131" s="49">
        <v>0</v>
      </c>
      <c r="J131" s="49"/>
      <c r="K131" s="49">
        <v>0</v>
      </c>
      <c r="L131" s="49"/>
      <c r="M131" s="49">
        <v>0</v>
      </c>
      <c r="N131" s="49"/>
      <c r="O131" s="49">
        <v>0</v>
      </c>
      <c r="P131" s="49"/>
      <c r="Q131" s="49">
        <v>0</v>
      </c>
      <c r="R131" s="49"/>
      <c r="S131" s="49">
        <f>301842+21010+1475+4656</f>
        <v>328983</v>
      </c>
      <c r="T131" s="49"/>
      <c r="U131" s="49">
        <v>0</v>
      </c>
      <c r="V131" s="49"/>
      <c r="W131" s="49">
        <v>0</v>
      </c>
      <c r="X131" s="49"/>
      <c r="Y131" s="49">
        <v>0</v>
      </c>
      <c r="Z131" s="49"/>
      <c r="AA131" s="49">
        <v>10000</v>
      </c>
      <c r="AB131" s="49"/>
      <c r="AC131" s="49">
        <v>0</v>
      </c>
      <c r="AD131" s="49"/>
      <c r="AE131" s="49">
        <v>0</v>
      </c>
      <c r="AF131" s="49"/>
      <c r="AG131" s="49">
        <v>0</v>
      </c>
      <c r="AH131" s="49"/>
      <c r="AI131" s="49">
        <f t="shared" si="6"/>
        <v>338983</v>
      </c>
      <c r="AJ131" s="8"/>
      <c r="AK131" s="6" t="str">
        <f>'Gen Rev'!A131</f>
        <v>Clarington</v>
      </c>
      <c r="AL131" s="6" t="str">
        <f t="shared" si="4"/>
        <v>Clarington</v>
      </c>
      <c r="AM131" s="6" t="b">
        <f t="shared" si="5"/>
        <v>1</v>
      </c>
    </row>
    <row r="132" spans="1:42" s="14" customFormat="1" ht="12" customHeight="1" x14ac:dyDescent="0.2">
      <c r="A132" s="6" t="s">
        <v>196</v>
      </c>
      <c r="B132" s="6"/>
      <c r="C132" s="6" t="s">
        <v>485</v>
      </c>
      <c r="D132" s="6"/>
      <c r="E132" s="49">
        <v>8110.38</v>
      </c>
      <c r="F132" s="49"/>
      <c r="G132" s="49">
        <v>0</v>
      </c>
      <c r="H132" s="49"/>
      <c r="I132" s="49">
        <v>42736.82</v>
      </c>
      <c r="J132" s="49"/>
      <c r="K132" s="49">
        <v>0</v>
      </c>
      <c r="L132" s="49"/>
      <c r="M132" s="49">
        <v>121</v>
      </c>
      <c r="N132" s="49"/>
      <c r="O132" s="49">
        <v>2971.67</v>
      </c>
      <c r="P132" s="49"/>
      <c r="Q132" s="49">
        <v>139.53</v>
      </c>
      <c r="R132" s="49"/>
      <c r="S132" s="49">
        <v>2616.63</v>
      </c>
      <c r="T132" s="49"/>
      <c r="U132" s="49">
        <v>0</v>
      </c>
      <c r="V132" s="49"/>
      <c r="W132" s="49">
        <v>0</v>
      </c>
      <c r="X132" s="49"/>
      <c r="Y132" s="49">
        <v>0</v>
      </c>
      <c r="Z132" s="49"/>
      <c r="AA132" s="49">
        <v>0</v>
      </c>
      <c r="AB132" s="49"/>
      <c r="AC132" s="49">
        <v>0</v>
      </c>
      <c r="AD132" s="49"/>
      <c r="AE132" s="49">
        <v>0</v>
      </c>
      <c r="AF132" s="49"/>
      <c r="AG132" s="49">
        <v>0</v>
      </c>
      <c r="AH132" s="49"/>
      <c r="AI132" s="49">
        <f t="shared" si="6"/>
        <v>56696.029999999992</v>
      </c>
      <c r="AJ132" s="8"/>
      <c r="AK132" s="6" t="str">
        <f>'Gen Rev'!A132</f>
        <v>Clarksburg</v>
      </c>
      <c r="AL132" s="6" t="str">
        <f t="shared" si="4"/>
        <v>Clarksburg</v>
      </c>
      <c r="AM132" s="6" t="b">
        <f t="shared" si="5"/>
        <v>1</v>
      </c>
      <c r="AN132" s="6"/>
      <c r="AO132" s="6"/>
      <c r="AP132" s="6"/>
    </row>
    <row r="133" spans="1:42" s="14" customFormat="1" ht="12" customHeight="1" x14ac:dyDescent="0.2">
      <c r="A133" s="6" t="s">
        <v>165</v>
      </c>
      <c r="B133" s="6"/>
      <c r="C133" s="6" t="s">
        <v>192</v>
      </c>
      <c r="D133" s="6"/>
      <c r="E133" s="49">
        <v>8111.19</v>
      </c>
      <c r="F133" s="49"/>
      <c r="G133" s="49">
        <v>87339.29</v>
      </c>
      <c r="H133" s="49"/>
      <c r="I133" s="49">
        <v>30541.57</v>
      </c>
      <c r="J133" s="49"/>
      <c r="K133" s="49">
        <v>0</v>
      </c>
      <c r="L133" s="49"/>
      <c r="M133" s="49">
        <v>4728</v>
      </c>
      <c r="N133" s="49"/>
      <c r="O133" s="49">
        <v>1184.47</v>
      </c>
      <c r="P133" s="49"/>
      <c r="Q133" s="49">
        <v>263.45</v>
      </c>
      <c r="R133" s="49"/>
      <c r="S133" s="49">
        <v>0</v>
      </c>
      <c r="T133" s="49"/>
      <c r="U133" s="49">
        <v>0</v>
      </c>
      <c r="V133" s="49"/>
      <c r="W133" s="49">
        <v>0</v>
      </c>
      <c r="X133" s="49"/>
      <c r="Y133" s="49">
        <v>0</v>
      </c>
      <c r="Z133" s="49"/>
      <c r="AA133" s="49">
        <v>65000</v>
      </c>
      <c r="AB133" s="49"/>
      <c r="AC133" s="49">
        <v>0</v>
      </c>
      <c r="AD133" s="49"/>
      <c r="AE133" s="49">
        <v>5558.81</v>
      </c>
      <c r="AF133" s="49"/>
      <c r="AG133" s="49">
        <v>0</v>
      </c>
      <c r="AH133" s="49"/>
      <c r="AI133" s="49">
        <f t="shared" si="6"/>
        <v>202726.78</v>
      </c>
      <c r="AJ133" s="8"/>
      <c r="AK133" s="6" t="str">
        <f>'Gen Rev'!A133</f>
        <v>Clay Center</v>
      </c>
      <c r="AL133" s="6" t="str">
        <f t="shared" si="4"/>
        <v>Clay Center</v>
      </c>
      <c r="AM133" s="6" t="b">
        <f t="shared" si="5"/>
        <v>1</v>
      </c>
      <c r="AN133" s="6"/>
      <c r="AO133" s="6"/>
      <c r="AP133" s="6"/>
    </row>
    <row r="134" spans="1:42" s="14" customFormat="1" ht="12" customHeight="1" x14ac:dyDescent="0.2">
      <c r="A134" s="6" t="s">
        <v>722</v>
      </c>
      <c r="B134" s="6"/>
      <c r="C134" s="6" t="s">
        <v>351</v>
      </c>
      <c r="D134" s="6"/>
      <c r="E134" s="49">
        <v>497429.15</v>
      </c>
      <c r="F134" s="49"/>
      <c r="G134" s="49">
        <v>0</v>
      </c>
      <c r="H134" s="49"/>
      <c r="I134" s="49">
        <v>848541.73</v>
      </c>
      <c r="J134" s="49"/>
      <c r="K134" s="49">
        <v>299743.71000000002</v>
      </c>
      <c r="L134" s="49"/>
      <c r="M134" s="49">
        <v>23206.11</v>
      </c>
      <c r="N134" s="49"/>
      <c r="O134" s="49">
        <v>167474.10999999999</v>
      </c>
      <c r="P134" s="49"/>
      <c r="Q134" s="49">
        <v>870.33</v>
      </c>
      <c r="R134" s="49"/>
      <c r="S134" s="49">
        <v>90549.16</v>
      </c>
      <c r="T134" s="49"/>
      <c r="U134" s="49">
        <v>0</v>
      </c>
      <c r="V134" s="49"/>
      <c r="W134" s="49">
        <v>0</v>
      </c>
      <c r="X134" s="49"/>
      <c r="Y134" s="49">
        <v>0</v>
      </c>
      <c r="Z134" s="49"/>
      <c r="AA134" s="49">
        <v>4900</v>
      </c>
      <c r="AB134" s="49"/>
      <c r="AC134" s="49">
        <v>0</v>
      </c>
      <c r="AD134" s="49"/>
      <c r="AE134" s="49">
        <v>89090</v>
      </c>
      <c r="AF134" s="49"/>
      <c r="AG134" s="49">
        <v>0</v>
      </c>
      <c r="AH134" s="49"/>
      <c r="AI134" s="49">
        <f t="shared" si="6"/>
        <v>2021804.3</v>
      </c>
      <c r="AJ134" s="8"/>
      <c r="AK134" s="6" t="str">
        <f>'Gen Rev'!A134</f>
        <v>Cleves</v>
      </c>
      <c r="AL134" s="6" t="str">
        <f t="shared" si="4"/>
        <v>Cleves</v>
      </c>
      <c r="AM134" s="6" t="b">
        <f t="shared" si="5"/>
        <v>1</v>
      </c>
      <c r="AN134" s="6"/>
      <c r="AO134" s="6"/>
      <c r="AP134" s="6"/>
    </row>
    <row r="135" spans="1:42" ht="12" customHeight="1" x14ac:dyDescent="0.2">
      <c r="A135" s="6" t="s">
        <v>346</v>
      </c>
      <c r="C135" s="6" t="s">
        <v>347</v>
      </c>
      <c r="E135" s="49">
        <v>18740</v>
      </c>
      <c r="F135" s="49"/>
      <c r="G135" s="49">
        <v>0</v>
      </c>
      <c r="H135" s="49"/>
      <c r="I135" s="49">
        <v>9607</v>
      </c>
      <c r="J135" s="49"/>
      <c r="K135" s="49">
        <v>0</v>
      </c>
      <c r="L135" s="49"/>
      <c r="M135" s="49">
        <v>0</v>
      </c>
      <c r="N135" s="49"/>
      <c r="O135" s="49">
        <v>50</v>
      </c>
      <c r="P135" s="49"/>
      <c r="Q135" s="49">
        <v>7</v>
      </c>
      <c r="R135" s="49"/>
      <c r="S135" s="49">
        <f>36097+7550</f>
        <v>43647</v>
      </c>
      <c r="T135" s="49"/>
      <c r="U135" s="49">
        <v>0</v>
      </c>
      <c r="V135" s="49"/>
      <c r="W135" s="49">
        <v>0</v>
      </c>
      <c r="X135" s="49"/>
      <c r="Y135" s="49">
        <v>0</v>
      </c>
      <c r="Z135" s="49"/>
      <c r="AA135" s="49">
        <v>0</v>
      </c>
      <c r="AB135" s="49"/>
      <c r="AC135" s="49">
        <v>0</v>
      </c>
      <c r="AD135" s="49"/>
      <c r="AE135" s="49">
        <v>0</v>
      </c>
      <c r="AF135" s="49"/>
      <c r="AG135" s="49">
        <v>0</v>
      </c>
      <c r="AH135" s="49"/>
      <c r="AI135" s="49">
        <f t="shared" si="6"/>
        <v>72051</v>
      </c>
      <c r="AJ135" s="8"/>
      <c r="AK135" s="6" t="str">
        <f>'Gen Rev'!A135</f>
        <v>Clifton</v>
      </c>
      <c r="AL135" s="6" t="str">
        <f t="shared" si="4"/>
        <v>Clifton</v>
      </c>
      <c r="AM135" s="6" t="b">
        <f t="shared" si="5"/>
        <v>1</v>
      </c>
      <c r="AN135" s="15"/>
      <c r="AO135" s="15"/>
      <c r="AP135" s="15"/>
    </row>
    <row r="136" spans="1:42" s="14" customFormat="1" ht="12" customHeight="1" x14ac:dyDescent="0.2">
      <c r="A136" s="6" t="s">
        <v>280</v>
      </c>
      <c r="B136" s="6"/>
      <c r="C136" s="6" t="s">
        <v>511</v>
      </c>
      <c r="D136" s="6"/>
      <c r="E136" s="49">
        <v>337953.74</v>
      </c>
      <c r="F136" s="49"/>
      <c r="G136" s="49">
        <v>238992.87</v>
      </c>
      <c r="H136" s="49"/>
      <c r="I136" s="49">
        <v>191290.44</v>
      </c>
      <c r="J136" s="49"/>
      <c r="K136" s="49">
        <v>0</v>
      </c>
      <c r="L136" s="49"/>
      <c r="M136" s="49">
        <v>107924.5</v>
      </c>
      <c r="N136" s="49"/>
      <c r="O136" s="49">
        <v>13584.26</v>
      </c>
      <c r="P136" s="49"/>
      <c r="Q136" s="49">
        <v>0</v>
      </c>
      <c r="R136" s="49"/>
      <c r="S136" s="49">
        <v>51278.66</v>
      </c>
      <c r="T136" s="49"/>
      <c r="U136" s="49">
        <v>0</v>
      </c>
      <c r="V136" s="49"/>
      <c r="W136" s="49">
        <v>0</v>
      </c>
      <c r="X136" s="49"/>
      <c r="Y136" s="49">
        <v>0</v>
      </c>
      <c r="Z136" s="49"/>
      <c r="AA136" s="49">
        <v>30260</v>
      </c>
      <c r="AB136" s="49"/>
      <c r="AC136" s="49">
        <v>0</v>
      </c>
      <c r="AD136" s="49"/>
      <c r="AE136" s="49">
        <v>0</v>
      </c>
      <c r="AF136" s="49"/>
      <c r="AG136" s="49">
        <v>0</v>
      </c>
      <c r="AH136" s="49"/>
      <c r="AI136" s="49">
        <f t="shared" si="6"/>
        <v>971284.47000000009</v>
      </c>
      <c r="AJ136" s="8"/>
      <c r="AK136" s="6" t="str">
        <f>'Gen Rev'!A136</f>
        <v>Clinton</v>
      </c>
      <c r="AL136" s="6" t="str">
        <f t="shared" si="4"/>
        <v>Clinton</v>
      </c>
      <c r="AM136" s="6" t="b">
        <f t="shared" si="5"/>
        <v>1</v>
      </c>
      <c r="AN136" s="12"/>
      <c r="AO136" s="12"/>
      <c r="AP136" s="12"/>
    </row>
    <row r="137" spans="1:42" s="14" customFormat="1" ht="12" customHeight="1" x14ac:dyDescent="0.2">
      <c r="A137" s="6" t="s">
        <v>117</v>
      </c>
      <c r="B137" s="6"/>
      <c r="C137" s="6" t="s">
        <v>406</v>
      </c>
      <c r="D137" s="6"/>
      <c r="E137" s="49">
        <v>39186.269999999997</v>
      </c>
      <c r="F137" s="49"/>
      <c r="G137" s="49">
        <v>242527.65</v>
      </c>
      <c r="H137" s="49"/>
      <c r="I137" s="49">
        <v>132313.74</v>
      </c>
      <c r="J137" s="49"/>
      <c r="K137" s="49">
        <v>88697.83</v>
      </c>
      <c r="L137" s="49"/>
      <c r="M137" s="49">
        <v>1680</v>
      </c>
      <c r="N137" s="49"/>
      <c r="O137" s="49">
        <v>283835.26</v>
      </c>
      <c r="P137" s="49"/>
      <c r="Q137" s="49">
        <v>0</v>
      </c>
      <c r="R137" s="49"/>
      <c r="S137" s="49">
        <v>21650.86</v>
      </c>
      <c r="T137" s="49"/>
      <c r="U137" s="49">
        <v>0</v>
      </c>
      <c r="V137" s="49"/>
      <c r="W137" s="49">
        <v>0</v>
      </c>
      <c r="X137" s="49"/>
      <c r="Y137" s="49">
        <v>0</v>
      </c>
      <c r="Z137" s="49"/>
      <c r="AA137" s="49">
        <v>24500</v>
      </c>
      <c r="AB137" s="49"/>
      <c r="AC137" s="49">
        <v>19000</v>
      </c>
      <c r="AD137" s="49"/>
      <c r="AE137" s="49">
        <v>0</v>
      </c>
      <c r="AF137" s="49"/>
      <c r="AG137" s="49">
        <v>0</v>
      </c>
      <c r="AH137" s="49"/>
      <c r="AI137" s="49">
        <f t="shared" si="6"/>
        <v>853391.61</v>
      </c>
      <c r="AJ137" s="8"/>
      <c r="AK137" s="6" t="str">
        <f>'Gen Rev'!A137</f>
        <v>Coal Grove</v>
      </c>
      <c r="AL137" s="6" t="str">
        <f t="shared" si="4"/>
        <v>Coal Grove</v>
      </c>
      <c r="AM137" s="6" t="b">
        <f t="shared" si="5"/>
        <v>1</v>
      </c>
      <c r="AN137" s="12"/>
      <c r="AO137" s="12"/>
      <c r="AP137" s="12"/>
    </row>
    <row r="138" spans="1:42" s="14" customFormat="1" ht="12" customHeight="1" x14ac:dyDescent="0.2">
      <c r="A138" s="6" t="s">
        <v>617</v>
      </c>
      <c r="B138" s="6"/>
      <c r="C138" s="6" t="s">
        <v>850</v>
      </c>
      <c r="D138" s="6"/>
      <c r="E138" s="49">
        <v>16579.16</v>
      </c>
      <c r="F138" s="49"/>
      <c r="G138" s="49">
        <v>0</v>
      </c>
      <c r="H138" s="49"/>
      <c r="I138" s="49">
        <v>94006.57</v>
      </c>
      <c r="J138" s="49"/>
      <c r="K138" s="49">
        <v>0</v>
      </c>
      <c r="L138" s="49"/>
      <c r="M138" s="49">
        <v>22038.26</v>
      </c>
      <c r="N138" s="49"/>
      <c r="O138" s="49">
        <v>16452.330000000002</v>
      </c>
      <c r="P138" s="49"/>
      <c r="Q138" s="49">
        <v>2963.48</v>
      </c>
      <c r="R138" s="49"/>
      <c r="S138" s="49">
        <v>2244.71</v>
      </c>
      <c r="T138" s="49"/>
      <c r="U138" s="49">
        <v>0</v>
      </c>
      <c r="V138" s="49"/>
      <c r="W138" s="49">
        <v>0</v>
      </c>
      <c r="X138" s="49"/>
      <c r="Y138" s="49">
        <v>0</v>
      </c>
      <c r="Z138" s="49"/>
      <c r="AA138" s="49">
        <v>0</v>
      </c>
      <c r="AB138" s="49"/>
      <c r="AC138" s="49">
        <v>0</v>
      </c>
      <c r="AD138" s="49"/>
      <c r="AE138" s="49">
        <v>0</v>
      </c>
      <c r="AF138" s="49"/>
      <c r="AG138" s="49">
        <v>10376.99</v>
      </c>
      <c r="AH138" s="49"/>
      <c r="AI138" s="49">
        <f t="shared" si="6"/>
        <v>164661.5</v>
      </c>
      <c r="AJ138" s="8"/>
      <c r="AK138" s="6" t="str">
        <f>'Gen Rev'!A138</f>
        <v>Coalton</v>
      </c>
      <c r="AL138" s="6" t="str">
        <f t="shared" si="4"/>
        <v>Coalton</v>
      </c>
      <c r="AM138" s="6" t="b">
        <f t="shared" si="5"/>
        <v>1</v>
      </c>
      <c r="AN138" s="12"/>
      <c r="AO138" s="12"/>
      <c r="AP138" s="12"/>
    </row>
    <row r="139" spans="1:42" ht="12" customHeight="1" x14ac:dyDescent="0.2">
      <c r="A139" s="6" t="s">
        <v>767</v>
      </c>
      <c r="C139" s="6" t="s">
        <v>433</v>
      </c>
      <c r="E139" s="49">
        <v>337306</v>
      </c>
      <c r="F139" s="49"/>
      <c r="G139" s="49">
        <v>1512542</v>
      </c>
      <c r="H139" s="49"/>
      <c r="I139" s="49">
        <v>377142</v>
      </c>
      <c r="J139" s="49"/>
      <c r="K139" s="49">
        <v>4148</v>
      </c>
      <c r="L139" s="49"/>
      <c r="M139" s="49">
        <v>499587</v>
      </c>
      <c r="N139" s="49"/>
      <c r="O139" s="49">
        <v>17032</v>
      </c>
      <c r="P139" s="49"/>
      <c r="Q139" s="49">
        <v>1303</v>
      </c>
      <c r="R139" s="49"/>
      <c r="S139" s="49">
        <v>63049</v>
      </c>
      <c r="T139" s="49"/>
      <c r="U139" s="49">
        <v>0</v>
      </c>
      <c r="V139" s="49"/>
      <c r="W139" s="49">
        <v>0</v>
      </c>
      <c r="X139" s="49"/>
      <c r="Y139" s="49">
        <v>0</v>
      </c>
      <c r="Z139" s="49"/>
      <c r="AA139" s="49">
        <v>0</v>
      </c>
      <c r="AB139" s="49"/>
      <c r="AC139" s="49">
        <v>0</v>
      </c>
      <c r="AD139" s="49"/>
      <c r="AE139" s="49">
        <v>1142159</v>
      </c>
      <c r="AF139" s="49"/>
      <c r="AG139" s="49">
        <v>0</v>
      </c>
      <c r="AH139" s="49"/>
      <c r="AI139" s="49">
        <f t="shared" si="6"/>
        <v>3954268</v>
      </c>
      <c r="AJ139" s="8"/>
      <c r="AK139" s="6" t="str">
        <f>'Gen Rev'!A139</f>
        <v>Coldwater</v>
      </c>
      <c r="AL139" s="6" t="str">
        <f t="shared" si="4"/>
        <v>Coldwater</v>
      </c>
      <c r="AM139" s="6" t="b">
        <f t="shared" si="5"/>
        <v>1</v>
      </c>
      <c r="AN139" s="14"/>
      <c r="AO139" s="14"/>
      <c r="AP139" s="14"/>
    </row>
    <row r="140" spans="1:42" ht="12" customHeight="1" x14ac:dyDescent="0.2"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8"/>
      <c r="AN140" s="14"/>
      <c r="AO140" s="14"/>
      <c r="AP140" s="14"/>
    </row>
    <row r="141" spans="1:42" ht="12" customHeight="1" x14ac:dyDescent="0.2"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88" t="s">
        <v>733</v>
      </c>
      <c r="AJ141" s="8"/>
      <c r="AN141" s="14"/>
      <c r="AO141" s="14"/>
      <c r="AP141" s="14"/>
    </row>
    <row r="142" spans="1:42" ht="12" customHeight="1" x14ac:dyDescent="0.2"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8"/>
      <c r="AN142" s="14"/>
      <c r="AO142" s="14"/>
      <c r="AP142" s="14"/>
    </row>
    <row r="143" spans="1:42" ht="12" customHeight="1" x14ac:dyDescent="0.2">
      <c r="A143" s="6" t="s">
        <v>184</v>
      </c>
      <c r="C143" s="6" t="s">
        <v>472</v>
      </c>
      <c r="E143" s="52">
        <v>16532.86</v>
      </c>
      <c r="F143" s="52"/>
      <c r="G143" s="52">
        <v>0</v>
      </c>
      <c r="H143" s="52"/>
      <c r="I143" s="52">
        <v>79771.11</v>
      </c>
      <c r="J143" s="52"/>
      <c r="K143" s="52">
        <v>0</v>
      </c>
      <c r="L143" s="52"/>
      <c r="M143" s="52">
        <v>25000</v>
      </c>
      <c r="N143" s="52"/>
      <c r="O143" s="52">
        <v>2860.24</v>
      </c>
      <c r="P143" s="52"/>
      <c r="Q143" s="52">
        <v>354.52</v>
      </c>
      <c r="R143" s="52"/>
      <c r="S143" s="52">
        <v>317.99</v>
      </c>
      <c r="T143" s="52"/>
      <c r="U143" s="52">
        <v>0</v>
      </c>
      <c r="V143" s="52"/>
      <c r="W143" s="52">
        <v>0</v>
      </c>
      <c r="X143" s="52"/>
      <c r="Y143" s="52">
        <v>0</v>
      </c>
      <c r="Z143" s="52"/>
      <c r="AA143" s="52">
        <v>0</v>
      </c>
      <c r="AB143" s="52"/>
      <c r="AC143" s="52">
        <v>0</v>
      </c>
      <c r="AD143" s="52"/>
      <c r="AE143" s="52">
        <v>0</v>
      </c>
      <c r="AF143" s="52"/>
      <c r="AG143" s="52">
        <v>0</v>
      </c>
      <c r="AH143" s="49"/>
      <c r="AI143" s="52">
        <f t="shared" si="6"/>
        <v>124836.72000000002</v>
      </c>
      <c r="AJ143" s="8"/>
      <c r="AK143" s="6" t="str">
        <f>'Gen Rev'!A143</f>
        <v>College Corner</v>
      </c>
      <c r="AL143" s="6" t="str">
        <f t="shared" ref="AL143:AL206" si="7">A143</f>
        <v>College Corner</v>
      </c>
      <c r="AM143" s="6" t="b">
        <f t="shared" ref="AM143:AM206" si="8">AK143=AL143</f>
        <v>1</v>
      </c>
    </row>
    <row r="144" spans="1:42" ht="12" customHeight="1" x14ac:dyDescent="0.2">
      <c r="A144" s="6" t="s">
        <v>856</v>
      </c>
      <c r="C144" s="6" t="s">
        <v>467</v>
      </c>
      <c r="E144" s="49">
        <v>58960.33</v>
      </c>
      <c r="F144" s="49"/>
      <c r="G144" s="49">
        <v>419521.15</v>
      </c>
      <c r="H144" s="49"/>
      <c r="I144" s="49">
        <v>95356.73</v>
      </c>
      <c r="J144" s="49"/>
      <c r="K144" s="49">
        <v>0</v>
      </c>
      <c r="L144" s="49"/>
      <c r="M144" s="49">
        <v>47983.3</v>
      </c>
      <c r="N144" s="49"/>
      <c r="O144" s="49">
        <v>17273.599999999999</v>
      </c>
      <c r="P144" s="49"/>
      <c r="Q144" s="49">
        <v>1718.38</v>
      </c>
      <c r="R144" s="49"/>
      <c r="S144" s="49">
        <v>9871.0400000000009</v>
      </c>
      <c r="T144" s="49"/>
      <c r="U144" s="49">
        <v>0</v>
      </c>
      <c r="V144" s="49"/>
      <c r="W144" s="49">
        <v>0</v>
      </c>
      <c r="X144" s="49"/>
      <c r="Y144" s="49">
        <v>0</v>
      </c>
      <c r="Z144" s="49"/>
      <c r="AA144" s="49">
        <v>0</v>
      </c>
      <c r="AB144" s="49"/>
      <c r="AC144" s="49">
        <v>0</v>
      </c>
      <c r="AD144" s="49"/>
      <c r="AE144" s="49">
        <v>0</v>
      </c>
      <c r="AF144" s="49"/>
      <c r="AG144" s="49">
        <v>0</v>
      </c>
      <c r="AH144" s="49"/>
      <c r="AI144" s="49">
        <f t="shared" si="6"/>
        <v>650684.53000000014</v>
      </c>
      <c r="AJ144" s="8"/>
      <c r="AK144" s="6" t="str">
        <f>'Gen Rev'!A144</f>
        <v>Commercial Point</v>
      </c>
      <c r="AL144" s="6" t="str">
        <f t="shared" si="7"/>
        <v>Commercial Point</v>
      </c>
      <c r="AM144" s="6" t="b">
        <f t="shared" si="8"/>
        <v>1</v>
      </c>
    </row>
    <row r="145" spans="1:42" ht="12" customHeight="1" x14ac:dyDescent="0.2">
      <c r="A145" s="6" t="s">
        <v>796</v>
      </c>
      <c r="C145" s="6" t="s">
        <v>547</v>
      </c>
      <c r="E145" s="49">
        <v>25346.75</v>
      </c>
      <c r="F145" s="49"/>
      <c r="G145" s="49">
        <v>0</v>
      </c>
      <c r="H145" s="49"/>
      <c r="I145" s="49">
        <v>13663.39</v>
      </c>
      <c r="J145" s="49"/>
      <c r="K145" s="49">
        <v>0</v>
      </c>
      <c r="L145" s="49"/>
      <c r="M145" s="49">
        <v>0</v>
      </c>
      <c r="N145" s="49"/>
      <c r="O145" s="49">
        <v>0</v>
      </c>
      <c r="P145" s="49"/>
      <c r="Q145" s="49">
        <v>0</v>
      </c>
      <c r="R145" s="49"/>
      <c r="S145" s="49">
        <v>1244.8800000000001</v>
      </c>
      <c r="T145" s="49"/>
      <c r="U145" s="49">
        <v>0</v>
      </c>
      <c r="V145" s="49"/>
      <c r="W145" s="49">
        <v>0</v>
      </c>
      <c r="X145" s="49"/>
      <c r="Y145" s="49">
        <v>0</v>
      </c>
      <c r="Z145" s="49"/>
      <c r="AA145" s="49">
        <v>0</v>
      </c>
      <c r="AB145" s="49"/>
      <c r="AC145" s="49">
        <v>0</v>
      </c>
      <c r="AD145" s="49"/>
      <c r="AE145" s="49">
        <v>0</v>
      </c>
      <c r="AF145" s="49"/>
      <c r="AG145" s="49">
        <v>0</v>
      </c>
      <c r="AH145" s="49"/>
      <c r="AI145" s="49">
        <f t="shared" ref="AI145:AI211" si="9">SUM(E145:AG145)</f>
        <v>40255.019999999997</v>
      </c>
      <c r="AJ145" s="8"/>
      <c r="AK145" s="6" t="str">
        <f>'Gen Rev'!A145</f>
        <v>Congress</v>
      </c>
      <c r="AL145" s="6" t="str">
        <f t="shared" si="7"/>
        <v>Congress</v>
      </c>
      <c r="AM145" s="6" t="b">
        <f t="shared" si="8"/>
        <v>1</v>
      </c>
      <c r="AN145" s="14"/>
      <c r="AO145" s="14"/>
      <c r="AP145" s="14"/>
    </row>
    <row r="146" spans="1:42" ht="12" customHeight="1" x14ac:dyDescent="0.2">
      <c r="A146" s="6" t="s">
        <v>187</v>
      </c>
      <c r="C146" s="6" t="s">
        <v>476</v>
      </c>
      <c r="E146" s="49">
        <v>169636.35</v>
      </c>
      <c r="F146" s="49"/>
      <c r="G146" s="49">
        <v>157007.31</v>
      </c>
      <c r="H146" s="49"/>
      <c r="I146" s="49">
        <v>188778.49</v>
      </c>
      <c r="J146" s="49"/>
      <c r="K146" s="49">
        <v>0</v>
      </c>
      <c r="L146" s="49"/>
      <c r="M146" s="49">
        <v>111275.91</v>
      </c>
      <c r="N146" s="49"/>
      <c r="O146" s="49">
        <v>3198.89</v>
      </c>
      <c r="P146" s="49"/>
      <c r="Q146" s="49">
        <v>82.6</v>
      </c>
      <c r="R146" s="49"/>
      <c r="S146" s="49">
        <v>31225.01</v>
      </c>
      <c r="T146" s="49"/>
      <c r="U146" s="49">
        <v>0</v>
      </c>
      <c r="V146" s="49"/>
      <c r="W146" s="49">
        <v>0</v>
      </c>
      <c r="X146" s="49"/>
      <c r="Y146" s="49">
        <v>2219.7600000000002</v>
      </c>
      <c r="Z146" s="49"/>
      <c r="AA146" s="49">
        <v>25000</v>
      </c>
      <c r="AB146" s="49"/>
      <c r="AC146" s="49">
        <v>90049</v>
      </c>
      <c r="AD146" s="49"/>
      <c r="AE146" s="49">
        <v>171.36</v>
      </c>
      <c r="AF146" s="49"/>
      <c r="AG146" s="49">
        <v>0</v>
      </c>
      <c r="AH146" s="49"/>
      <c r="AI146" s="49">
        <f t="shared" si="9"/>
        <v>778644.68</v>
      </c>
      <c r="AJ146" s="8"/>
      <c r="AK146" s="6" t="str">
        <f>'Gen Rev'!A146</f>
        <v>Continental</v>
      </c>
      <c r="AL146" s="6" t="str">
        <f t="shared" si="7"/>
        <v>Continental</v>
      </c>
      <c r="AM146" s="6" t="b">
        <f t="shared" si="8"/>
        <v>1</v>
      </c>
      <c r="AN146" s="14"/>
      <c r="AO146" s="14"/>
      <c r="AP146" s="14"/>
    </row>
    <row r="147" spans="1:42" ht="12" customHeight="1" x14ac:dyDescent="0.2">
      <c r="A147" s="6" t="s">
        <v>223</v>
      </c>
      <c r="C147" s="6" t="s">
        <v>532</v>
      </c>
      <c r="E147" s="49">
        <v>69551.13</v>
      </c>
      <c r="F147" s="49"/>
      <c r="G147" s="49">
        <v>139197.84</v>
      </c>
      <c r="H147" s="49"/>
      <c r="I147" s="49">
        <v>813461.87</v>
      </c>
      <c r="J147" s="49"/>
      <c r="K147" s="49">
        <v>0</v>
      </c>
      <c r="L147" s="49"/>
      <c r="M147" s="49">
        <v>75671.88</v>
      </c>
      <c r="N147" s="49"/>
      <c r="O147" s="49">
        <v>813</v>
      </c>
      <c r="P147" s="49"/>
      <c r="Q147" s="49">
        <v>4508.49</v>
      </c>
      <c r="R147" s="49"/>
      <c r="S147" s="49">
        <v>50714.77</v>
      </c>
      <c r="T147" s="49"/>
      <c r="U147" s="49">
        <v>0</v>
      </c>
      <c r="V147" s="49"/>
      <c r="W147" s="49">
        <v>0</v>
      </c>
      <c r="X147" s="49"/>
      <c r="Y147" s="49">
        <v>0</v>
      </c>
      <c r="Z147" s="49"/>
      <c r="AA147" s="49">
        <v>0</v>
      </c>
      <c r="AB147" s="49"/>
      <c r="AC147" s="49">
        <v>0</v>
      </c>
      <c r="AD147" s="49"/>
      <c r="AE147" s="49">
        <v>151258.57</v>
      </c>
      <c r="AF147" s="49"/>
      <c r="AG147" s="49">
        <v>0</v>
      </c>
      <c r="AH147" s="49"/>
      <c r="AI147" s="49">
        <f t="shared" si="9"/>
        <v>1305177.55</v>
      </c>
      <c r="AJ147" s="8"/>
      <c r="AK147" s="6" t="str">
        <f>'Gen Rev'!A147</f>
        <v>Convoy</v>
      </c>
      <c r="AL147" s="6" t="str">
        <f t="shared" si="7"/>
        <v>Convoy</v>
      </c>
      <c r="AM147" s="6" t="b">
        <f t="shared" si="8"/>
        <v>1</v>
      </c>
    </row>
    <row r="148" spans="1:42" ht="12" customHeight="1" x14ac:dyDescent="0.2">
      <c r="A148" s="6" t="s">
        <v>797</v>
      </c>
      <c r="C148" s="6" t="s">
        <v>253</v>
      </c>
      <c r="E148" s="49">
        <v>15132.46</v>
      </c>
      <c r="F148" s="49"/>
      <c r="G148" s="49">
        <v>0</v>
      </c>
      <c r="H148" s="49"/>
      <c r="I148" s="49">
        <v>56146.12</v>
      </c>
      <c r="J148" s="49"/>
      <c r="K148" s="49">
        <v>8884.15</v>
      </c>
      <c r="L148" s="49"/>
      <c r="M148" s="49">
        <v>6789.83</v>
      </c>
      <c r="N148" s="49"/>
      <c r="O148" s="49">
        <v>3946.28</v>
      </c>
      <c r="P148" s="49"/>
      <c r="Q148" s="49">
        <v>107.65</v>
      </c>
      <c r="R148" s="49"/>
      <c r="S148" s="49">
        <v>0</v>
      </c>
      <c r="T148" s="49"/>
      <c r="U148" s="49">
        <v>0</v>
      </c>
      <c r="V148" s="49"/>
      <c r="W148" s="49">
        <v>0</v>
      </c>
      <c r="X148" s="49"/>
      <c r="Y148" s="49">
        <v>0</v>
      </c>
      <c r="Z148" s="49"/>
      <c r="AA148" s="49">
        <v>0</v>
      </c>
      <c r="AB148" s="49"/>
      <c r="AC148" s="49">
        <v>0</v>
      </c>
      <c r="AD148" s="49"/>
      <c r="AE148" s="49">
        <v>0</v>
      </c>
      <c r="AF148" s="49"/>
      <c r="AG148" s="49">
        <v>0</v>
      </c>
      <c r="AH148" s="49"/>
      <c r="AI148" s="49">
        <f t="shared" si="9"/>
        <v>91006.489999999991</v>
      </c>
      <c r="AJ148" s="8"/>
      <c r="AK148" s="6" t="str">
        <f>'Gen Rev'!A148</f>
        <v>Coolville</v>
      </c>
      <c r="AL148" s="6" t="str">
        <f t="shared" si="7"/>
        <v>Coolville</v>
      </c>
      <c r="AM148" s="6" t="b">
        <f t="shared" si="8"/>
        <v>1</v>
      </c>
      <c r="AN148" s="15"/>
      <c r="AO148" s="15"/>
      <c r="AP148" s="15"/>
    </row>
    <row r="149" spans="1:42" ht="12" customHeight="1" x14ac:dyDescent="0.2">
      <c r="A149" s="6" t="s">
        <v>172</v>
      </c>
      <c r="C149" s="6" t="s">
        <v>464</v>
      </c>
      <c r="E149" s="49">
        <v>38800.78</v>
      </c>
      <c r="F149" s="49"/>
      <c r="G149" s="49">
        <v>0</v>
      </c>
      <c r="H149" s="49"/>
      <c r="I149" s="49">
        <v>36364.82</v>
      </c>
      <c r="J149" s="49"/>
      <c r="K149" s="49">
        <v>0</v>
      </c>
      <c r="L149" s="49"/>
      <c r="M149" s="49">
        <v>165403.41</v>
      </c>
      <c r="N149" s="49"/>
      <c r="O149" s="49">
        <v>170</v>
      </c>
      <c r="P149" s="49"/>
      <c r="Q149" s="49">
        <v>1070</v>
      </c>
      <c r="R149" s="49"/>
      <c r="S149" s="49">
        <v>2234.58</v>
      </c>
      <c r="T149" s="49"/>
      <c r="U149" s="49">
        <v>0</v>
      </c>
      <c r="V149" s="49"/>
      <c r="W149" s="49">
        <v>0</v>
      </c>
      <c r="X149" s="49"/>
      <c r="Y149" s="49">
        <v>0</v>
      </c>
      <c r="Z149" s="49"/>
      <c r="AA149" s="49">
        <v>0</v>
      </c>
      <c r="AB149" s="49"/>
      <c r="AC149" s="49">
        <v>0</v>
      </c>
      <c r="AD149" s="49"/>
      <c r="AE149" s="49">
        <v>0</v>
      </c>
      <c r="AF149" s="49"/>
      <c r="AG149" s="49">
        <v>1008.65</v>
      </c>
      <c r="AH149" s="49"/>
      <c r="AI149" s="49">
        <f t="shared" si="9"/>
        <v>245052.24</v>
      </c>
      <c r="AJ149" s="8"/>
      <c r="AK149" s="6" t="str">
        <f>'Gen Rev'!A149</f>
        <v>Corning</v>
      </c>
      <c r="AL149" s="6" t="str">
        <f t="shared" si="7"/>
        <v>Corning</v>
      </c>
      <c r="AM149" s="6" t="b">
        <f t="shared" si="8"/>
        <v>1</v>
      </c>
    </row>
    <row r="150" spans="1:42" ht="12" customHeight="1" x14ac:dyDescent="0.2">
      <c r="A150" s="6" t="s">
        <v>539</v>
      </c>
      <c r="C150" s="6" t="s">
        <v>541</v>
      </c>
      <c r="E150" s="49">
        <v>82641</v>
      </c>
      <c r="F150" s="49"/>
      <c r="G150" s="49">
        <v>25908</v>
      </c>
      <c r="H150" s="49"/>
      <c r="I150" s="49">
        <v>26205</v>
      </c>
      <c r="J150" s="49"/>
      <c r="K150" s="49">
        <v>0</v>
      </c>
      <c r="L150" s="49"/>
      <c r="M150" s="49">
        <v>0</v>
      </c>
      <c r="N150" s="49"/>
      <c r="O150" s="49">
        <v>5270</v>
      </c>
      <c r="P150" s="49"/>
      <c r="Q150" s="49">
        <v>380</v>
      </c>
      <c r="R150" s="49"/>
      <c r="S150" s="49">
        <v>0</v>
      </c>
      <c r="T150" s="49"/>
      <c r="U150" s="49">
        <v>0</v>
      </c>
      <c r="V150" s="49"/>
      <c r="W150" s="49">
        <v>0</v>
      </c>
      <c r="X150" s="49"/>
      <c r="Y150" s="49">
        <v>0</v>
      </c>
      <c r="Z150" s="49"/>
      <c r="AA150" s="49">
        <v>0</v>
      </c>
      <c r="AB150" s="49"/>
      <c r="AC150" s="49">
        <v>0</v>
      </c>
      <c r="AD150" s="49"/>
      <c r="AE150" s="49">
        <v>0</v>
      </c>
      <c r="AF150" s="49"/>
      <c r="AG150" s="49">
        <v>0</v>
      </c>
      <c r="AH150" s="49"/>
      <c r="AI150" s="49">
        <f t="shared" si="9"/>
        <v>140404</v>
      </c>
      <c r="AJ150" s="8"/>
      <c r="AK150" s="6" t="str">
        <f>'Gen Rev'!A150</f>
        <v>Corwin</v>
      </c>
      <c r="AL150" s="6" t="str">
        <f t="shared" si="7"/>
        <v>Corwin</v>
      </c>
      <c r="AM150" s="6" t="b">
        <f t="shared" si="8"/>
        <v>1</v>
      </c>
      <c r="AN150" s="14"/>
      <c r="AO150" s="14"/>
      <c r="AP150" s="14"/>
    </row>
    <row r="151" spans="1:42" ht="12" customHeight="1" x14ac:dyDescent="0.2">
      <c r="A151" s="6" t="s">
        <v>768</v>
      </c>
      <c r="C151" s="6" t="s">
        <v>437</v>
      </c>
      <c r="E151" s="49">
        <v>237364</v>
      </c>
      <c r="F151" s="49"/>
      <c r="G151" s="49">
        <f>600357+149777</f>
        <v>750134</v>
      </c>
      <c r="H151" s="49"/>
      <c r="I151" s="49">
        <f>81726+120061</f>
        <v>201787</v>
      </c>
      <c r="J151" s="49"/>
      <c r="K151" s="49">
        <v>48301</v>
      </c>
      <c r="L151" s="49"/>
      <c r="M151" s="49">
        <v>1259</v>
      </c>
      <c r="N151" s="49"/>
      <c r="O151" s="49">
        <v>27428</v>
      </c>
      <c r="P151" s="49"/>
      <c r="Q151" s="49">
        <v>139</v>
      </c>
      <c r="R151" s="49"/>
      <c r="S151" s="49">
        <f>44165+72177</f>
        <v>116342</v>
      </c>
      <c r="T151" s="49"/>
      <c r="U151" s="49">
        <v>0</v>
      </c>
      <c r="V151" s="49"/>
      <c r="W151" s="49">
        <v>0</v>
      </c>
      <c r="X151" s="49"/>
      <c r="Y151" s="49">
        <v>0</v>
      </c>
      <c r="Z151" s="49"/>
      <c r="AA151" s="49">
        <v>160000</v>
      </c>
      <c r="AB151" s="49"/>
      <c r="AC151" s="49">
        <v>0</v>
      </c>
      <c r="AD151" s="49"/>
      <c r="AE151" s="49">
        <v>0</v>
      </c>
      <c r="AF151" s="49"/>
      <c r="AG151" s="49">
        <v>0</v>
      </c>
      <c r="AH151" s="49"/>
      <c r="AI151" s="49">
        <f t="shared" si="9"/>
        <v>1542754</v>
      </c>
      <c r="AJ151" s="8"/>
      <c r="AK151" s="6" t="str">
        <f>'Gen Rev'!A151</f>
        <v>Covington</v>
      </c>
      <c r="AL151" s="6" t="str">
        <f t="shared" si="7"/>
        <v>Covington</v>
      </c>
      <c r="AM151" s="6" t="b">
        <f t="shared" si="8"/>
        <v>1</v>
      </c>
      <c r="AN151" s="14"/>
      <c r="AO151" s="14"/>
      <c r="AP151" s="14"/>
    </row>
    <row r="152" spans="1:42" s="14" customFormat="1" ht="12" customHeight="1" x14ac:dyDescent="0.2">
      <c r="A152" s="6" t="s">
        <v>135</v>
      </c>
      <c r="B152" s="6"/>
      <c r="C152" s="6" t="s">
        <v>429</v>
      </c>
      <c r="D152" s="6"/>
      <c r="E152" s="49">
        <v>112877.94</v>
      </c>
      <c r="F152" s="49"/>
      <c r="G152" s="49">
        <v>0</v>
      </c>
      <c r="H152" s="49"/>
      <c r="I152" s="49">
        <v>85414.65</v>
      </c>
      <c r="J152" s="49"/>
      <c r="K152" s="49">
        <v>0</v>
      </c>
      <c r="L152" s="49"/>
      <c r="M152" s="49">
        <v>0</v>
      </c>
      <c r="N152" s="49"/>
      <c r="O152" s="49">
        <v>43950.42</v>
      </c>
      <c r="P152" s="49"/>
      <c r="Q152" s="49">
        <v>90.96</v>
      </c>
      <c r="R152" s="49"/>
      <c r="S152" s="49">
        <v>12036</v>
      </c>
      <c r="T152" s="49"/>
      <c r="U152" s="49">
        <v>0</v>
      </c>
      <c r="V152" s="49"/>
      <c r="W152" s="49">
        <v>0</v>
      </c>
      <c r="X152" s="49"/>
      <c r="Y152" s="49">
        <v>135</v>
      </c>
      <c r="Z152" s="49"/>
      <c r="AA152" s="49">
        <v>0</v>
      </c>
      <c r="AB152" s="49"/>
      <c r="AC152" s="49">
        <v>0</v>
      </c>
      <c r="AD152" s="49"/>
      <c r="AE152" s="49">
        <v>0</v>
      </c>
      <c r="AF152" s="49"/>
      <c r="AG152" s="49">
        <v>1418.87</v>
      </c>
      <c r="AH152" s="49"/>
      <c r="AI152" s="49">
        <f t="shared" si="9"/>
        <v>255923.84</v>
      </c>
      <c r="AJ152" s="8"/>
      <c r="AK152" s="6" t="str">
        <f>'Gen Rev'!A152</f>
        <v>Craig Beach</v>
      </c>
      <c r="AL152" s="6" t="str">
        <f t="shared" si="7"/>
        <v>Craig Beach</v>
      </c>
      <c r="AM152" s="6" t="b">
        <f t="shared" si="8"/>
        <v>1</v>
      </c>
      <c r="AN152" s="6"/>
      <c r="AO152" s="6"/>
      <c r="AP152" s="6"/>
    </row>
    <row r="153" spans="1:42" s="14" customFormat="1" ht="12" customHeight="1" x14ac:dyDescent="0.2">
      <c r="A153" s="6" t="s">
        <v>826</v>
      </c>
      <c r="B153" s="6"/>
      <c r="C153" s="6" t="s">
        <v>289</v>
      </c>
      <c r="D153" s="6"/>
      <c r="E153" s="49">
        <v>160714</v>
      </c>
      <c r="F153" s="49"/>
      <c r="G153" s="49">
        <v>1204381</v>
      </c>
      <c r="H153" s="49"/>
      <c r="I153" s="49">
        <v>423526</v>
      </c>
      <c r="J153" s="49"/>
      <c r="K153" s="49">
        <v>15928</v>
      </c>
      <c r="L153" s="49"/>
      <c r="M153" s="49">
        <v>144949</v>
      </c>
      <c r="N153" s="49"/>
      <c r="O153" s="49">
        <f>60017+79439</f>
        <v>139456</v>
      </c>
      <c r="P153" s="49"/>
      <c r="Q153" s="49">
        <v>12567</v>
      </c>
      <c r="R153" s="49"/>
      <c r="S153" s="49">
        <f>5450+50+82629</f>
        <v>88129</v>
      </c>
      <c r="T153" s="49"/>
      <c r="U153" s="49">
        <v>0</v>
      </c>
      <c r="V153" s="49"/>
      <c r="W153" s="49">
        <v>0</v>
      </c>
      <c r="X153" s="49"/>
      <c r="Y153" s="49">
        <v>0</v>
      </c>
      <c r="Z153" s="49"/>
      <c r="AA153" s="49">
        <v>1332</v>
      </c>
      <c r="AB153" s="49"/>
      <c r="AC153" s="49">
        <v>0</v>
      </c>
      <c r="AD153" s="49"/>
      <c r="AE153" s="49">
        <v>0</v>
      </c>
      <c r="AF153" s="49"/>
      <c r="AG153" s="49">
        <v>0</v>
      </c>
      <c r="AH153" s="49"/>
      <c r="AI153" s="49">
        <f t="shared" si="9"/>
        <v>2190982</v>
      </c>
      <c r="AJ153" s="8"/>
      <c r="AK153" s="6" t="str">
        <f>'Gen Rev'!A153</f>
        <v>Crestline</v>
      </c>
      <c r="AL153" s="6" t="str">
        <f t="shared" si="7"/>
        <v>Crestline</v>
      </c>
      <c r="AM153" s="6" t="b">
        <f t="shared" si="8"/>
        <v>1</v>
      </c>
    </row>
    <row r="154" spans="1:42" ht="12" customHeight="1" x14ac:dyDescent="0.2">
      <c r="A154" s="6" t="s">
        <v>548</v>
      </c>
      <c r="C154" s="6" t="s">
        <v>547</v>
      </c>
      <c r="E154" s="49">
        <v>170626.3</v>
      </c>
      <c r="F154" s="49"/>
      <c r="G154" s="49">
        <v>246509.44</v>
      </c>
      <c r="H154" s="49"/>
      <c r="I154" s="49">
        <v>496355.03</v>
      </c>
      <c r="J154" s="49"/>
      <c r="K154" s="49">
        <v>0</v>
      </c>
      <c r="L154" s="49"/>
      <c r="M154" s="49">
        <v>38649.1</v>
      </c>
      <c r="N154" s="49"/>
      <c r="O154" s="49">
        <v>29753</v>
      </c>
      <c r="P154" s="49"/>
      <c r="Q154" s="49">
        <v>3129.63</v>
      </c>
      <c r="R154" s="49"/>
      <c r="S154" s="49">
        <v>21606.1</v>
      </c>
      <c r="T154" s="49"/>
      <c r="U154" s="49">
        <v>0</v>
      </c>
      <c r="V154" s="49"/>
      <c r="W154" s="49">
        <v>0</v>
      </c>
      <c r="X154" s="49"/>
      <c r="Y154" s="49">
        <v>0</v>
      </c>
      <c r="Z154" s="49"/>
      <c r="AA154" s="49">
        <v>163500</v>
      </c>
      <c r="AB154" s="49"/>
      <c r="AC154" s="49">
        <v>0</v>
      </c>
      <c r="AD154" s="49"/>
      <c r="AE154" s="49">
        <v>0</v>
      </c>
      <c r="AF154" s="49"/>
      <c r="AG154" s="49">
        <v>0</v>
      </c>
      <c r="AH154" s="49"/>
      <c r="AI154" s="49">
        <f t="shared" si="9"/>
        <v>1170128.6000000001</v>
      </c>
      <c r="AJ154" s="8"/>
      <c r="AK154" s="6" t="str">
        <f>'Gen Rev'!A154</f>
        <v>Creston</v>
      </c>
      <c r="AL154" s="6" t="str">
        <f t="shared" si="7"/>
        <v>Creston</v>
      </c>
      <c r="AM154" s="6" t="b">
        <f t="shared" si="8"/>
        <v>1</v>
      </c>
      <c r="AN154" s="14"/>
      <c r="AO154" s="14"/>
      <c r="AP154" s="14"/>
    </row>
    <row r="155" spans="1:42" ht="12" customHeight="1" x14ac:dyDescent="0.2">
      <c r="A155" s="6" t="s">
        <v>256</v>
      </c>
      <c r="C155" s="6" t="s">
        <v>257</v>
      </c>
      <c r="E155" s="49">
        <f>84956+34989</f>
        <v>119945</v>
      </c>
      <c r="F155" s="49"/>
      <c r="G155" s="49">
        <v>311994</v>
      </c>
      <c r="H155" s="49"/>
      <c r="I155" s="49">
        <f>476365+82930</f>
        <v>559295</v>
      </c>
      <c r="J155" s="49"/>
      <c r="K155" s="49">
        <v>0</v>
      </c>
      <c r="L155" s="49"/>
      <c r="M155" s="49">
        <v>50099</v>
      </c>
      <c r="N155" s="49"/>
      <c r="O155" s="49">
        <v>47245</v>
      </c>
      <c r="P155" s="49"/>
      <c r="Q155" s="49">
        <f>512+106</f>
        <v>618</v>
      </c>
      <c r="R155" s="49"/>
      <c r="S155" s="49">
        <f>37831+875</f>
        <v>38706</v>
      </c>
      <c r="T155" s="49"/>
      <c r="U155" s="49">
        <v>0</v>
      </c>
      <c r="V155" s="49"/>
      <c r="W155" s="49">
        <v>0</v>
      </c>
      <c r="X155" s="49"/>
      <c r="Y155" s="49">
        <v>0</v>
      </c>
      <c r="Z155" s="49"/>
      <c r="AA155" s="49">
        <f>77261+13501+40857</f>
        <v>131619</v>
      </c>
      <c r="AB155" s="49"/>
      <c r="AC155" s="49">
        <v>0</v>
      </c>
      <c r="AD155" s="49"/>
      <c r="AE155" s="49">
        <v>123837</v>
      </c>
      <c r="AF155" s="49"/>
      <c r="AG155" s="49">
        <v>0</v>
      </c>
      <c r="AH155" s="49"/>
      <c r="AI155" s="49">
        <f t="shared" si="9"/>
        <v>1383358</v>
      </c>
      <c r="AJ155" s="8"/>
      <c r="AK155" s="6" t="str">
        <f>'Gen Rev'!A155</f>
        <v>Cridersville</v>
      </c>
      <c r="AL155" s="6" t="str">
        <f t="shared" si="7"/>
        <v>Cridersville</v>
      </c>
      <c r="AM155" s="6" t="b">
        <f t="shared" si="8"/>
        <v>1</v>
      </c>
    </row>
    <row r="156" spans="1:42" ht="12" customHeight="1" x14ac:dyDescent="0.2">
      <c r="A156" s="8" t="s">
        <v>463</v>
      </c>
      <c r="B156" s="8"/>
      <c r="C156" s="8" t="s">
        <v>464</v>
      </c>
      <c r="D156" s="8"/>
      <c r="E156" s="49">
        <v>138653</v>
      </c>
      <c r="F156" s="49"/>
      <c r="G156" s="49">
        <v>481458</v>
      </c>
      <c r="H156" s="49"/>
      <c r="I156" s="49">
        <f>153969+36636</f>
        <v>190605</v>
      </c>
      <c r="J156" s="49"/>
      <c r="K156" s="49">
        <v>0</v>
      </c>
      <c r="L156" s="49"/>
      <c r="M156" s="49">
        <v>515061</v>
      </c>
      <c r="N156" s="49"/>
      <c r="O156" s="49">
        <v>46259</v>
      </c>
      <c r="P156" s="49"/>
      <c r="Q156" s="49">
        <v>3548</v>
      </c>
      <c r="R156" s="49"/>
      <c r="S156" s="49">
        <v>480</v>
      </c>
      <c r="T156" s="49"/>
      <c r="U156" s="49">
        <v>0</v>
      </c>
      <c r="V156" s="49"/>
      <c r="W156" s="49">
        <v>0</v>
      </c>
      <c r="X156" s="49"/>
      <c r="Y156" s="49">
        <v>0</v>
      </c>
      <c r="Z156" s="49"/>
      <c r="AA156" s="49">
        <v>0</v>
      </c>
      <c r="AB156" s="49"/>
      <c r="AC156" s="49">
        <v>0</v>
      </c>
      <c r="AD156" s="49"/>
      <c r="AE156" s="49">
        <v>701930</v>
      </c>
      <c r="AF156" s="49"/>
      <c r="AG156" s="49">
        <v>0</v>
      </c>
      <c r="AH156" s="49"/>
      <c r="AI156" s="49">
        <f t="shared" si="9"/>
        <v>2077994</v>
      </c>
      <c r="AJ156" s="8"/>
      <c r="AK156" s="6" t="str">
        <f>'Gen Rev'!A156</f>
        <v>Crooksville</v>
      </c>
      <c r="AL156" s="6" t="str">
        <f t="shared" si="7"/>
        <v>Crooksville</v>
      </c>
      <c r="AM156" s="6" t="b">
        <f t="shared" si="8"/>
        <v>1</v>
      </c>
      <c r="AN156" s="15"/>
      <c r="AO156" s="15"/>
      <c r="AP156" s="15"/>
    </row>
    <row r="157" spans="1:42" ht="12" customHeight="1" x14ac:dyDescent="0.2">
      <c r="A157" s="6" t="s">
        <v>75</v>
      </c>
      <c r="C157" s="6" t="s">
        <v>338</v>
      </c>
      <c r="E157" s="49">
        <v>6163.96</v>
      </c>
      <c r="F157" s="49"/>
      <c r="G157" s="49">
        <v>0</v>
      </c>
      <c r="H157" s="49"/>
      <c r="I157" s="49">
        <v>66768.149999999994</v>
      </c>
      <c r="J157" s="49"/>
      <c r="K157" s="49">
        <v>605153.81000000006</v>
      </c>
      <c r="L157" s="49"/>
      <c r="M157" s="49">
        <v>2042.25</v>
      </c>
      <c r="N157" s="49"/>
      <c r="O157" s="49">
        <v>2466.09</v>
      </c>
      <c r="P157" s="49"/>
      <c r="Q157" s="49">
        <v>177.37</v>
      </c>
      <c r="R157" s="49"/>
      <c r="S157" s="49">
        <v>5185.68</v>
      </c>
      <c r="T157" s="49"/>
      <c r="U157" s="49">
        <v>0</v>
      </c>
      <c r="V157" s="49"/>
      <c r="W157" s="49">
        <v>0</v>
      </c>
      <c r="X157" s="49"/>
      <c r="Y157" s="49">
        <v>0</v>
      </c>
      <c r="Z157" s="49"/>
      <c r="AA157" s="49">
        <v>0</v>
      </c>
      <c r="AB157" s="49"/>
      <c r="AC157" s="49">
        <v>0</v>
      </c>
      <c r="AD157" s="49"/>
      <c r="AE157" s="49">
        <v>0</v>
      </c>
      <c r="AF157" s="49"/>
      <c r="AG157" s="49">
        <v>0</v>
      </c>
      <c r="AH157" s="49"/>
      <c r="AI157" s="49">
        <f t="shared" si="9"/>
        <v>687957.31</v>
      </c>
      <c r="AJ157" s="8"/>
      <c r="AK157" s="6" t="str">
        <f>'Gen Rev'!A157</f>
        <v>Crown City</v>
      </c>
      <c r="AL157" s="6" t="str">
        <f t="shared" si="7"/>
        <v>Crown City</v>
      </c>
      <c r="AM157" s="6" t="b">
        <f t="shared" si="8"/>
        <v>1</v>
      </c>
    </row>
    <row r="158" spans="1:42" ht="12" customHeight="1" x14ac:dyDescent="0.2">
      <c r="A158" s="6" t="s">
        <v>82</v>
      </c>
      <c r="C158" s="6" t="s">
        <v>349</v>
      </c>
      <c r="E158" s="49">
        <v>29918.2</v>
      </c>
      <c r="F158" s="49"/>
      <c r="G158" s="49">
        <v>0</v>
      </c>
      <c r="H158" s="49"/>
      <c r="I158" s="49">
        <v>53093.34</v>
      </c>
      <c r="J158" s="49"/>
      <c r="K158" s="49">
        <v>0</v>
      </c>
      <c r="L158" s="49"/>
      <c r="M158" s="49">
        <v>0</v>
      </c>
      <c r="N158" s="49"/>
      <c r="O158" s="49">
        <v>0</v>
      </c>
      <c r="P158" s="49"/>
      <c r="Q158" s="49">
        <v>491.63</v>
      </c>
      <c r="R158" s="49"/>
      <c r="S158" s="49">
        <v>2721</v>
      </c>
      <c r="T158" s="49"/>
      <c r="U158" s="49">
        <v>0</v>
      </c>
      <c r="V158" s="49"/>
      <c r="W158" s="49">
        <v>0</v>
      </c>
      <c r="X158" s="49"/>
      <c r="Y158" s="49">
        <v>0</v>
      </c>
      <c r="Z158" s="49"/>
      <c r="AA158" s="49">
        <v>10000</v>
      </c>
      <c r="AB158" s="49"/>
      <c r="AC158" s="49">
        <v>0</v>
      </c>
      <c r="AD158" s="49"/>
      <c r="AE158" s="49">
        <v>0</v>
      </c>
      <c r="AF158" s="49"/>
      <c r="AG158" s="49">
        <v>0</v>
      </c>
      <c r="AH158" s="49"/>
      <c r="AI158" s="49">
        <f t="shared" si="9"/>
        <v>96224.17</v>
      </c>
      <c r="AJ158" s="8"/>
      <c r="AK158" s="6" t="str">
        <f>'Gen Rev'!A158</f>
        <v>Cumberland</v>
      </c>
      <c r="AL158" s="6" t="str">
        <f t="shared" si="7"/>
        <v>Cumberland</v>
      </c>
      <c r="AM158" s="6" t="b">
        <f t="shared" si="8"/>
        <v>1</v>
      </c>
    </row>
    <row r="159" spans="1:42" s="14" customFormat="1" ht="12" customHeight="1" x14ac:dyDescent="0.2">
      <c r="A159" s="6" t="s">
        <v>236</v>
      </c>
      <c r="B159" s="6"/>
      <c r="C159" s="6" t="s">
        <v>558</v>
      </c>
      <c r="D159" s="6"/>
      <c r="E159" s="49">
        <v>25447.040000000001</v>
      </c>
      <c r="F159" s="49"/>
      <c r="G159" s="49">
        <v>0</v>
      </c>
      <c r="H159" s="49"/>
      <c r="I159" s="49">
        <v>11931.41</v>
      </c>
      <c r="J159" s="49"/>
      <c r="K159" s="49">
        <v>0</v>
      </c>
      <c r="L159" s="49"/>
      <c r="M159" s="49">
        <v>0</v>
      </c>
      <c r="N159" s="49"/>
      <c r="O159" s="49">
        <v>55</v>
      </c>
      <c r="P159" s="49"/>
      <c r="Q159" s="49">
        <v>1076.83</v>
      </c>
      <c r="R159" s="49"/>
      <c r="S159" s="49">
        <v>7.14</v>
      </c>
      <c r="T159" s="49"/>
      <c r="U159" s="49">
        <v>0</v>
      </c>
      <c r="V159" s="49"/>
      <c r="W159" s="49">
        <v>0</v>
      </c>
      <c r="X159" s="49"/>
      <c r="Y159" s="49">
        <v>0</v>
      </c>
      <c r="Z159" s="49"/>
      <c r="AA159" s="49">
        <v>437.76</v>
      </c>
      <c r="AB159" s="49"/>
      <c r="AC159" s="49">
        <v>0</v>
      </c>
      <c r="AD159" s="49"/>
      <c r="AE159" s="49">
        <v>50</v>
      </c>
      <c r="AF159" s="49"/>
      <c r="AG159" s="49">
        <v>0</v>
      </c>
      <c r="AH159" s="49"/>
      <c r="AI159" s="49">
        <f t="shared" si="9"/>
        <v>39005.18</v>
      </c>
      <c r="AJ159" s="8"/>
      <c r="AK159" s="6" t="str">
        <f>'Gen Rev'!A159</f>
        <v>Custar</v>
      </c>
      <c r="AL159" s="6" t="str">
        <f t="shared" si="7"/>
        <v>Custar</v>
      </c>
      <c r="AM159" s="6" t="b">
        <f t="shared" si="8"/>
        <v>1</v>
      </c>
      <c r="AN159" s="15"/>
      <c r="AO159" s="15"/>
      <c r="AP159" s="15"/>
    </row>
    <row r="160" spans="1:42" ht="12" customHeight="1" x14ac:dyDescent="0.2">
      <c r="A160" s="6" t="s">
        <v>788</v>
      </c>
      <c r="C160" s="6" t="s">
        <v>293</v>
      </c>
      <c r="E160" s="49">
        <v>403152</v>
      </c>
      <c r="F160" s="49"/>
      <c r="G160" s="49">
        <v>8079046</v>
      </c>
      <c r="H160" s="49"/>
      <c r="I160" s="49">
        <v>2380938</v>
      </c>
      <c r="J160" s="49"/>
      <c r="K160" s="49">
        <v>0</v>
      </c>
      <c r="L160" s="49"/>
      <c r="M160" s="49">
        <v>503456</v>
      </c>
      <c r="N160" s="49"/>
      <c r="O160" s="49">
        <v>237769</v>
      </c>
      <c r="P160" s="49"/>
      <c r="Q160" s="49">
        <v>8282</v>
      </c>
      <c r="R160" s="49"/>
      <c r="S160" s="49">
        <v>159456</v>
      </c>
      <c r="T160" s="49"/>
      <c r="U160" s="49">
        <v>0</v>
      </c>
      <c r="V160" s="49"/>
      <c r="W160" s="49">
        <f>4390000+18225</f>
        <v>4408225</v>
      </c>
      <c r="X160" s="49"/>
      <c r="Y160" s="49">
        <v>3244</v>
      </c>
      <c r="Z160" s="49"/>
      <c r="AA160" s="49">
        <v>1244000</v>
      </c>
      <c r="AB160" s="49"/>
      <c r="AC160" s="49">
        <v>0</v>
      </c>
      <c r="AD160" s="49"/>
      <c r="AE160" s="49">
        <v>0</v>
      </c>
      <c r="AF160" s="49"/>
      <c r="AG160" s="49">
        <v>0</v>
      </c>
      <c r="AH160" s="49"/>
      <c r="AI160" s="49">
        <f t="shared" si="9"/>
        <v>17427568</v>
      </c>
      <c r="AJ160" s="8"/>
      <c r="AK160" s="6" t="str">
        <f>'Gen Rev'!A160</f>
        <v>Cuyahoga Heights</v>
      </c>
      <c r="AL160" s="6" t="str">
        <f t="shared" si="7"/>
        <v>Cuyahoga Heights</v>
      </c>
      <c r="AM160" s="6" t="b">
        <f t="shared" si="8"/>
        <v>1</v>
      </c>
    </row>
    <row r="161" spans="1:42" s="14" customFormat="1" ht="12" customHeight="1" x14ac:dyDescent="0.2">
      <c r="A161" s="6" t="s">
        <v>713</v>
      </c>
      <c r="B161" s="6"/>
      <c r="C161" s="6" t="s">
        <v>558</v>
      </c>
      <c r="D161" s="6"/>
      <c r="E161" s="49">
        <v>15876.29</v>
      </c>
      <c r="F161" s="49"/>
      <c r="G161" s="49">
        <v>84366.21</v>
      </c>
      <c r="H161" s="49"/>
      <c r="I161" s="49">
        <v>37368.21</v>
      </c>
      <c r="J161" s="49"/>
      <c r="K161" s="49">
        <v>0</v>
      </c>
      <c r="L161" s="49"/>
      <c r="M161" s="49">
        <v>10181.799999999999</v>
      </c>
      <c r="N161" s="49"/>
      <c r="O161" s="49">
        <v>856.4</v>
      </c>
      <c r="P161" s="49"/>
      <c r="Q161" s="49">
        <v>600.49</v>
      </c>
      <c r="R161" s="49"/>
      <c r="S161" s="49">
        <v>6150.39</v>
      </c>
      <c r="T161" s="49"/>
      <c r="U161" s="49">
        <v>0</v>
      </c>
      <c r="V161" s="49"/>
      <c r="W161" s="49">
        <v>0</v>
      </c>
      <c r="X161" s="49"/>
      <c r="Y161" s="49">
        <v>0</v>
      </c>
      <c r="Z161" s="49"/>
      <c r="AA161" s="49">
        <v>0</v>
      </c>
      <c r="AB161" s="49"/>
      <c r="AC161" s="49">
        <v>0</v>
      </c>
      <c r="AD161" s="49"/>
      <c r="AE161" s="49">
        <v>3181.9</v>
      </c>
      <c r="AF161" s="49"/>
      <c r="AG161" s="49">
        <v>0</v>
      </c>
      <c r="AH161" s="49"/>
      <c r="AI161" s="49">
        <f t="shared" si="9"/>
        <v>158581.68999999997</v>
      </c>
      <c r="AJ161" s="6"/>
      <c r="AK161" s="6" t="str">
        <f>'Gen Rev'!A161</f>
        <v>Cygnet</v>
      </c>
      <c r="AL161" s="6" t="str">
        <f t="shared" si="7"/>
        <v>Cygnet</v>
      </c>
      <c r="AM161" s="6" t="b">
        <f t="shared" si="8"/>
        <v>1</v>
      </c>
    </row>
    <row r="162" spans="1:42" s="14" customFormat="1" ht="12" customHeight="1" x14ac:dyDescent="0.2">
      <c r="A162" s="6" t="s">
        <v>549</v>
      </c>
      <c r="B162" s="6"/>
      <c r="C162" s="6" t="s">
        <v>547</v>
      </c>
      <c r="D162" s="6"/>
      <c r="E162" s="49">
        <v>165096</v>
      </c>
      <c r="F162" s="49"/>
      <c r="G162" s="49">
        <v>456107</v>
      </c>
      <c r="H162" s="49"/>
      <c r="I162" s="49">
        <v>155699</v>
      </c>
      <c r="J162" s="49"/>
      <c r="K162" s="49">
        <v>0</v>
      </c>
      <c r="L162" s="49"/>
      <c r="M162" s="49">
        <v>14444</v>
      </c>
      <c r="N162" s="49"/>
      <c r="O162" s="49">
        <v>30369</v>
      </c>
      <c r="P162" s="49"/>
      <c r="Q162" s="49">
        <v>691</v>
      </c>
      <c r="R162" s="49"/>
      <c r="S162" s="49">
        <v>4963</v>
      </c>
      <c r="T162" s="49"/>
      <c r="U162" s="49">
        <v>0</v>
      </c>
      <c r="V162" s="49"/>
      <c r="W162" s="49">
        <v>0</v>
      </c>
      <c r="X162" s="49"/>
      <c r="Y162" s="49">
        <v>0</v>
      </c>
      <c r="Z162" s="49"/>
      <c r="AA162" s="49">
        <v>84406</v>
      </c>
      <c r="AB162" s="49"/>
      <c r="AC162" s="49">
        <v>0</v>
      </c>
      <c r="AD162" s="49"/>
      <c r="AE162" s="49">
        <v>55255</v>
      </c>
      <c r="AF162" s="49"/>
      <c r="AG162" s="49">
        <v>0</v>
      </c>
      <c r="AH162" s="49"/>
      <c r="AI162" s="49">
        <f t="shared" si="9"/>
        <v>967030</v>
      </c>
      <c r="AJ162" s="8"/>
      <c r="AK162" s="6" t="str">
        <f>'Gen Rev'!A162</f>
        <v>Dalton</v>
      </c>
      <c r="AL162" s="6" t="str">
        <f t="shared" si="7"/>
        <v>Dalton</v>
      </c>
      <c r="AM162" s="6" t="b">
        <f t="shared" si="8"/>
        <v>1</v>
      </c>
      <c r="AN162" s="6"/>
      <c r="AO162" s="6"/>
      <c r="AP162" s="6"/>
    </row>
    <row r="163" spans="1:42" s="14" customFormat="1" ht="12" customHeight="1" x14ac:dyDescent="0.2">
      <c r="A163" s="6" t="s">
        <v>395</v>
      </c>
      <c r="B163" s="6"/>
      <c r="C163" s="6" t="s">
        <v>396</v>
      </c>
      <c r="D163" s="6"/>
      <c r="E163" s="49">
        <v>98102</v>
      </c>
      <c r="F163" s="49"/>
      <c r="G163" s="49">
        <v>195658.69</v>
      </c>
      <c r="H163" s="49"/>
      <c r="I163" s="49">
        <v>99566.2</v>
      </c>
      <c r="J163" s="49"/>
      <c r="K163" s="49">
        <v>0</v>
      </c>
      <c r="L163" s="49"/>
      <c r="M163" s="49">
        <v>132.91</v>
      </c>
      <c r="N163" s="49"/>
      <c r="O163" s="49">
        <v>13513.82</v>
      </c>
      <c r="P163" s="49"/>
      <c r="Q163" s="49">
        <v>461.65</v>
      </c>
      <c r="R163" s="49"/>
      <c r="S163" s="49">
        <v>23998.28</v>
      </c>
      <c r="T163" s="49"/>
      <c r="U163" s="49">
        <v>0</v>
      </c>
      <c r="V163" s="49"/>
      <c r="W163" s="49">
        <v>0</v>
      </c>
      <c r="X163" s="49"/>
      <c r="Y163" s="49">
        <v>1675</v>
      </c>
      <c r="Z163" s="49"/>
      <c r="AA163" s="49">
        <v>119884.92</v>
      </c>
      <c r="AB163" s="49"/>
      <c r="AC163" s="49">
        <v>0</v>
      </c>
      <c r="AD163" s="49"/>
      <c r="AE163" s="49">
        <v>3943.03</v>
      </c>
      <c r="AF163" s="49"/>
      <c r="AG163" s="49">
        <v>0</v>
      </c>
      <c r="AH163" s="49"/>
      <c r="AI163" s="49">
        <f t="shared" si="9"/>
        <v>556936.50000000012</v>
      </c>
      <c r="AJ163" s="8"/>
      <c r="AK163" s="6" t="str">
        <f>'Gen Rev'!A163</f>
        <v>Danville</v>
      </c>
      <c r="AL163" s="6" t="str">
        <f t="shared" si="7"/>
        <v>Danville</v>
      </c>
      <c r="AM163" s="6" t="b">
        <f t="shared" si="8"/>
        <v>1</v>
      </c>
      <c r="AN163" s="6"/>
      <c r="AO163" s="6"/>
      <c r="AP163" s="6"/>
    </row>
    <row r="164" spans="1:42" ht="12" customHeight="1" x14ac:dyDescent="0.2">
      <c r="A164" s="6" t="s">
        <v>374</v>
      </c>
      <c r="C164" s="6" t="s">
        <v>373</v>
      </c>
      <c r="E164" s="49">
        <v>0</v>
      </c>
      <c r="F164" s="49"/>
      <c r="G164" s="49">
        <v>0</v>
      </c>
      <c r="H164" s="49"/>
      <c r="I164" s="49">
        <v>17797</v>
      </c>
      <c r="J164" s="49"/>
      <c r="K164" s="49">
        <v>0</v>
      </c>
      <c r="L164" s="49"/>
      <c r="M164" s="49">
        <v>0</v>
      </c>
      <c r="N164" s="49"/>
      <c r="O164" s="49">
        <v>0</v>
      </c>
      <c r="P164" s="49"/>
      <c r="Q164" s="49">
        <v>8</v>
      </c>
      <c r="R164" s="49"/>
      <c r="S164" s="49">
        <v>117</v>
      </c>
      <c r="T164" s="49"/>
      <c r="U164" s="49">
        <v>0</v>
      </c>
      <c r="V164" s="49"/>
      <c r="W164" s="49">
        <v>0</v>
      </c>
      <c r="X164" s="49"/>
      <c r="Y164" s="49">
        <v>0</v>
      </c>
      <c r="Z164" s="49"/>
      <c r="AA164" s="49">
        <v>0</v>
      </c>
      <c r="AB164" s="49"/>
      <c r="AC164" s="49">
        <v>0</v>
      </c>
      <c r="AD164" s="49"/>
      <c r="AE164" s="49">
        <v>0</v>
      </c>
      <c r="AF164" s="49"/>
      <c r="AG164" s="49">
        <v>0</v>
      </c>
      <c r="AH164" s="49"/>
      <c r="AI164" s="49">
        <f t="shared" si="9"/>
        <v>17922</v>
      </c>
      <c r="AJ164" s="8"/>
      <c r="AK164" s="6" t="str">
        <f>'Gen Rev'!A164</f>
        <v>Deersville</v>
      </c>
      <c r="AL164" s="6" t="str">
        <f t="shared" si="7"/>
        <v>Deersville</v>
      </c>
      <c r="AM164" s="6" t="b">
        <f t="shared" si="8"/>
        <v>1</v>
      </c>
    </row>
    <row r="165" spans="1:42" s="14" customFormat="1" ht="12" customHeight="1" x14ac:dyDescent="0.2">
      <c r="A165" s="6" t="s">
        <v>851</v>
      </c>
      <c r="B165" s="6"/>
      <c r="C165" s="6" t="s">
        <v>414</v>
      </c>
      <c r="D165" s="6"/>
      <c r="E165" s="49">
        <v>89684.51</v>
      </c>
      <c r="F165" s="49"/>
      <c r="G165" s="49">
        <v>149595.32</v>
      </c>
      <c r="H165" s="49"/>
      <c r="I165" s="49">
        <v>76361.69</v>
      </c>
      <c r="J165" s="49"/>
      <c r="K165" s="49">
        <v>1034.74</v>
      </c>
      <c r="L165" s="49"/>
      <c r="M165" s="49">
        <v>15114</v>
      </c>
      <c r="N165" s="49"/>
      <c r="O165" s="49">
        <v>11187.58</v>
      </c>
      <c r="P165" s="49"/>
      <c r="Q165" s="49">
        <v>437</v>
      </c>
      <c r="R165" s="49"/>
      <c r="S165" s="49">
        <v>8071.38</v>
      </c>
      <c r="T165" s="49"/>
      <c r="U165" s="49">
        <v>0</v>
      </c>
      <c r="V165" s="49"/>
      <c r="W165" s="49">
        <v>0</v>
      </c>
      <c r="X165" s="49"/>
      <c r="Y165" s="49">
        <v>0</v>
      </c>
      <c r="Z165" s="49"/>
      <c r="AA165" s="49">
        <v>2000</v>
      </c>
      <c r="AB165" s="49"/>
      <c r="AC165" s="49">
        <v>20600</v>
      </c>
      <c r="AD165" s="49"/>
      <c r="AE165" s="49">
        <v>0</v>
      </c>
      <c r="AF165" s="49"/>
      <c r="AG165" s="49">
        <v>0</v>
      </c>
      <c r="AH165" s="49"/>
      <c r="AI165" s="49">
        <f t="shared" si="9"/>
        <v>374086.22000000003</v>
      </c>
      <c r="AJ165" s="8"/>
      <c r="AK165" s="6" t="str">
        <f>'Gen Rev'!A165</f>
        <v>Degraff</v>
      </c>
      <c r="AL165" s="6" t="str">
        <f t="shared" si="7"/>
        <v>Degraff</v>
      </c>
      <c r="AM165" s="6" t="b">
        <f t="shared" si="8"/>
        <v>1</v>
      </c>
      <c r="AN165" s="12"/>
      <c r="AO165" s="12"/>
      <c r="AP165" s="12"/>
    </row>
    <row r="166" spans="1:42" s="14" customFormat="1" ht="12" customHeight="1" x14ac:dyDescent="0.2">
      <c r="A166" s="6" t="s">
        <v>27</v>
      </c>
      <c r="B166" s="6"/>
      <c r="C166" s="6" t="s">
        <v>57</v>
      </c>
      <c r="D166" s="6"/>
      <c r="E166" s="49">
        <v>32526.7</v>
      </c>
      <c r="F166" s="49"/>
      <c r="G166" s="49">
        <v>0</v>
      </c>
      <c r="H166" s="49"/>
      <c r="I166" s="49">
        <v>49635.040000000001</v>
      </c>
      <c r="J166" s="49"/>
      <c r="K166" s="49">
        <v>0</v>
      </c>
      <c r="L166" s="49"/>
      <c r="M166" s="49">
        <v>0</v>
      </c>
      <c r="N166" s="49"/>
      <c r="O166" s="49">
        <v>2492.61</v>
      </c>
      <c r="P166" s="49"/>
      <c r="Q166" s="49">
        <v>7.71</v>
      </c>
      <c r="R166" s="49"/>
      <c r="S166" s="49">
        <v>2854.45</v>
      </c>
      <c r="T166" s="49"/>
      <c r="U166" s="49">
        <v>0</v>
      </c>
      <c r="V166" s="49"/>
      <c r="W166" s="49">
        <v>0</v>
      </c>
      <c r="X166" s="49"/>
      <c r="Y166" s="49">
        <v>0</v>
      </c>
      <c r="Z166" s="49"/>
      <c r="AA166" s="49">
        <v>0</v>
      </c>
      <c r="AB166" s="49"/>
      <c r="AC166" s="49">
        <v>0</v>
      </c>
      <c r="AD166" s="49"/>
      <c r="AE166" s="49">
        <v>0</v>
      </c>
      <c r="AF166" s="49"/>
      <c r="AG166" s="49">
        <v>0</v>
      </c>
      <c r="AH166" s="49"/>
      <c r="AI166" s="49">
        <f t="shared" si="9"/>
        <v>87516.510000000009</v>
      </c>
      <c r="AJ166" s="8"/>
      <c r="AK166" s="6" t="str">
        <f>'Gen Rev'!A166</f>
        <v>Dellroy</v>
      </c>
      <c r="AL166" s="6" t="str">
        <f t="shared" si="7"/>
        <v>Dellroy</v>
      </c>
      <c r="AM166" s="6" t="b">
        <f t="shared" si="8"/>
        <v>1</v>
      </c>
      <c r="AN166" s="12"/>
      <c r="AO166" s="12"/>
      <c r="AP166" s="12"/>
    </row>
    <row r="167" spans="1:42" s="14" customFormat="1" ht="12" customHeight="1" x14ac:dyDescent="0.2">
      <c r="A167" s="6" t="s">
        <v>333</v>
      </c>
      <c r="B167" s="6"/>
      <c r="C167" s="6" t="s">
        <v>332</v>
      </c>
      <c r="D167" s="6"/>
      <c r="E167" s="49">
        <v>437515</v>
      </c>
      <c r="F167" s="49"/>
      <c r="G167" s="49">
        <v>515824</v>
      </c>
      <c r="H167" s="49"/>
      <c r="I167" s="49">
        <v>347495</v>
      </c>
      <c r="J167" s="49"/>
      <c r="K167" s="49">
        <v>0</v>
      </c>
      <c r="L167" s="49"/>
      <c r="M167" s="49">
        <v>106713</v>
      </c>
      <c r="N167" s="49"/>
      <c r="O167" s="49">
        <v>47854</v>
      </c>
      <c r="P167" s="49"/>
      <c r="Q167" s="49">
        <v>12597</v>
      </c>
      <c r="R167" s="49"/>
      <c r="S167" s="49">
        <v>135955</v>
      </c>
      <c r="T167" s="49"/>
      <c r="U167" s="49">
        <v>0</v>
      </c>
      <c r="V167" s="49"/>
      <c r="W167" s="49">
        <v>0</v>
      </c>
      <c r="X167" s="49"/>
      <c r="Y167" s="49">
        <v>0</v>
      </c>
      <c r="Z167" s="49"/>
      <c r="AA167" s="49">
        <v>315028</v>
      </c>
      <c r="AB167" s="49"/>
      <c r="AC167" s="49">
        <v>0</v>
      </c>
      <c r="AD167" s="49"/>
      <c r="AE167" s="49">
        <v>0</v>
      </c>
      <c r="AF167" s="49"/>
      <c r="AG167" s="49">
        <v>0</v>
      </c>
      <c r="AH167" s="49"/>
      <c r="AI167" s="49">
        <f t="shared" si="9"/>
        <v>1918981</v>
      </c>
      <c r="AJ167" s="8"/>
      <c r="AK167" s="6" t="str">
        <f>'Gen Rev'!A167</f>
        <v>Delta</v>
      </c>
      <c r="AL167" s="6" t="str">
        <f t="shared" si="7"/>
        <v>Delta</v>
      </c>
      <c r="AM167" s="6" t="b">
        <f t="shared" si="8"/>
        <v>1</v>
      </c>
      <c r="AN167" s="12"/>
      <c r="AO167" s="12"/>
      <c r="AP167" s="12"/>
    </row>
    <row r="168" spans="1:42" s="14" customFormat="1" ht="12" customHeight="1" x14ac:dyDescent="0.2">
      <c r="A168" s="6" t="s">
        <v>217</v>
      </c>
      <c r="B168" s="6"/>
      <c r="C168" s="6" t="s">
        <v>521</v>
      </c>
      <c r="D168" s="6"/>
      <c r="E168" s="49">
        <v>168167.15</v>
      </c>
      <c r="F168" s="49"/>
      <c r="G168" s="49">
        <v>710095.81</v>
      </c>
      <c r="H168" s="49"/>
      <c r="I168" s="49">
        <v>225427.89</v>
      </c>
      <c r="J168" s="49"/>
      <c r="K168" s="49">
        <v>42274.61</v>
      </c>
      <c r="L168" s="49"/>
      <c r="M168" s="49">
        <v>0</v>
      </c>
      <c r="N168" s="49"/>
      <c r="O168" s="49">
        <v>10670.09</v>
      </c>
      <c r="P168" s="49"/>
      <c r="Q168" s="49">
        <v>1089.52</v>
      </c>
      <c r="R168" s="49"/>
      <c r="S168" s="49">
        <v>106997.46</v>
      </c>
      <c r="T168" s="49"/>
      <c r="U168" s="49">
        <v>0</v>
      </c>
      <c r="V168" s="49"/>
      <c r="W168" s="49">
        <v>0</v>
      </c>
      <c r="X168" s="49"/>
      <c r="Y168" s="49">
        <v>0</v>
      </c>
      <c r="Z168" s="49"/>
      <c r="AA168" s="49">
        <v>48000</v>
      </c>
      <c r="AB168" s="49"/>
      <c r="AC168" s="49">
        <v>0</v>
      </c>
      <c r="AD168" s="49"/>
      <c r="AE168" s="49">
        <v>221</v>
      </c>
      <c r="AF168" s="49"/>
      <c r="AG168" s="49">
        <v>0</v>
      </c>
      <c r="AH168" s="49"/>
      <c r="AI168" s="49">
        <f t="shared" si="9"/>
        <v>1312943.5300000003</v>
      </c>
      <c r="AJ168" s="18"/>
      <c r="AK168" s="6" t="str">
        <f>'Gen Rev'!A168</f>
        <v>Dennison</v>
      </c>
      <c r="AL168" s="6" t="str">
        <f t="shared" si="7"/>
        <v>Dennison</v>
      </c>
      <c r="AM168" s="6" t="b">
        <f t="shared" si="8"/>
        <v>1</v>
      </c>
      <c r="AN168" s="46"/>
      <c r="AO168" s="46"/>
      <c r="AP168" s="46"/>
    </row>
    <row r="169" spans="1:42" s="14" customFormat="1" ht="12" customHeight="1" x14ac:dyDescent="0.2">
      <c r="A169" s="6" t="s">
        <v>99</v>
      </c>
      <c r="B169" s="6"/>
      <c r="C169" s="6" t="s">
        <v>377</v>
      </c>
      <c r="D169" s="6"/>
      <c r="E169" s="49">
        <v>96076.26</v>
      </c>
      <c r="F169" s="49"/>
      <c r="G169" s="49">
        <v>255674.72</v>
      </c>
      <c r="H169" s="49"/>
      <c r="I169" s="49">
        <v>485404.41</v>
      </c>
      <c r="J169" s="49"/>
      <c r="K169" s="49">
        <v>0</v>
      </c>
      <c r="L169" s="49"/>
      <c r="M169" s="49">
        <v>2700</v>
      </c>
      <c r="N169" s="49"/>
      <c r="O169" s="49">
        <v>11934.82</v>
      </c>
      <c r="P169" s="49"/>
      <c r="Q169" s="49">
        <v>6949.81</v>
      </c>
      <c r="R169" s="49"/>
      <c r="S169" s="49">
        <v>70585.570000000007</v>
      </c>
      <c r="T169" s="49"/>
      <c r="U169" s="49">
        <v>0</v>
      </c>
      <c r="V169" s="49"/>
      <c r="W169" s="49">
        <v>0</v>
      </c>
      <c r="X169" s="49"/>
      <c r="Y169" s="49">
        <v>0</v>
      </c>
      <c r="Z169" s="49"/>
      <c r="AA169" s="49">
        <v>115780</v>
      </c>
      <c r="AB169" s="49"/>
      <c r="AC169" s="49">
        <v>0</v>
      </c>
      <c r="AD169" s="49"/>
      <c r="AE169" s="49">
        <v>217761.84</v>
      </c>
      <c r="AF169" s="49"/>
      <c r="AG169" s="49">
        <v>0</v>
      </c>
      <c r="AH169" s="49"/>
      <c r="AI169" s="49">
        <f t="shared" si="9"/>
        <v>1262867.43</v>
      </c>
      <c r="AJ169" s="8"/>
      <c r="AK169" s="6" t="str">
        <f>'Gen Rev'!A169</f>
        <v>Deshler</v>
      </c>
      <c r="AL169" s="6" t="str">
        <f t="shared" si="7"/>
        <v>Deshler</v>
      </c>
      <c r="AM169" s="6" t="b">
        <f t="shared" si="8"/>
        <v>1</v>
      </c>
      <c r="AN169" s="15"/>
      <c r="AO169" s="15"/>
      <c r="AP169" s="15"/>
    </row>
    <row r="170" spans="1:42" s="14" customFormat="1" ht="12" customHeight="1" x14ac:dyDescent="0.2">
      <c r="A170" s="6" t="s">
        <v>111</v>
      </c>
      <c r="B170" s="6"/>
      <c r="C170" s="6" t="s">
        <v>390</v>
      </c>
      <c r="D170" s="6"/>
      <c r="E170" s="49">
        <v>58484.800000000003</v>
      </c>
      <c r="F170" s="49"/>
      <c r="G170" s="49">
        <v>0</v>
      </c>
      <c r="H170" s="49"/>
      <c r="I170" s="49">
        <v>74840.05</v>
      </c>
      <c r="J170" s="49"/>
      <c r="K170" s="49">
        <v>0</v>
      </c>
      <c r="L170" s="49"/>
      <c r="M170" s="49">
        <v>2486.4899999999998</v>
      </c>
      <c r="N170" s="49"/>
      <c r="O170" s="49">
        <v>12407.67</v>
      </c>
      <c r="P170" s="49"/>
      <c r="Q170" s="49">
        <v>636.66</v>
      </c>
      <c r="R170" s="49"/>
      <c r="S170" s="49">
        <v>383.9</v>
      </c>
      <c r="T170" s="49"/>
      <c r="U170" s="49">
        <v>0</v>
      </c>
      <c r="V170" s="49"/>
      <c r="W170" s="49">
        <v>53000</v>
      </c>
      <c r="X170" s="49"/>
      <c r="Y170" s="49">
        <v>4500</v>
      </c>
      <c r="Z170" s="49"/>
      <c r="AA170" s="49">
        <v>0</v>
      </c>
      <c r="AB170" s="49"/>
      <c r="AC170" s="49">
        <v>0</v>
      </c>
      <c r="AD170" s="49"/>
      <c r="AE170" s="49">
        <v>0</v>
      </c>
      <c r="AF170" s="49"/>
      <c r="AG170" s="49">
        <v>0</v>
      </c>
      <c r="AH170" s="49"/>
      <c r="AI170" s="49">
        <f t="shared" si="9"/>
        <v>206739.57</v>
      </c>
      <c r="AJ170" s="8"/>
      <c r="AK170" s="6" t="str">
        <f>'Gen Rev'!A170</f>
        <v>Dillonvale</v>
      </c>
      <c r="AL170" s="6" t="str">
        <f t="shared" si="7"/>
        <v>Dillonvale</v>
      </c>
      <c r="AM170" s="6" t="b">
        <f t="shared" si="8"/>
        <v>1</v>
      </c>
      <c r="AN170" s="6"/>
      <c r="AO170" s="6"/>
      <c r="AP170" s="6"/>
    </row>
    <row r="171" spans="1:42" ht="12" customHeight="1" x14ac:dyDescent="0.2">
      <c r="A171" s="6" t="s">
        <v>699</v>
      </c>
      <c r="C171" s="6" t="s">
        <v>274</v>
      </c>
      <c r="E171" s="49">
        <v>40188.519999999997</v>
      </c>
      <c r="F171" s="49"/>
      <c r="G171" s="49">
        <v>0</v>
      </c>
      <c r="H171" s="49"/>
      <c r="I171" s="49">
        <v>15168.37</v>
      </c>
      <c r="J171" s="49"/>
      <c r="K171" s="49">
        <v>0</v>
      </c>
      <c r="L171" s="49"/>
      <c r="M171" s="49">
        <v>2904</v>
      </c>
      <c r="N171" s="49"/>
      <c r="O171" s="49">
        <v>6302.32</v>
      </c>
      <c r="P171" s="49"/>
      <c r="Q171" s="49">
        <v>413.75</v>
      </c>
      <c r="R171" s="49"/>
      <c r="S171" s="49">
        <v>2600</v>
      </c>
      <c r="T171" s="49"/>
      <c r="U171" s="49">
        <v>0</v>
      </c>
      <c r="V171" s="49"/>
      <c r="W171" s="49">
        <v>0</v>
      </c>
      <c r="X171" s="49"/>
      <c r="Y171" s="49">
        <v>0</v>
      </c>
      <c r="Z171" s="49"/>
      <c r="AA171" s="49">
        <v>0</v>
      </c>
      <c r="AB171" s="49"/>
      <c r="AC171" s="49">
        <v>0</v>
      </c>
      <c r="AD171" s="49"/>
      <c r="AE171" s="49">
        <v>0</v>
      </c>
      <c r="AF171" s="49"/>
      <c r="AG171" s="49">
        <v>0</v>
      </c>
      <c r="AH171" s="49"/>
      <c r="AI171" s="49">
        <f t="shared" si="9"/>
        <v>67576.959999999992</v>
      </c>
      <c r="AJ171" s="8"/>
      <c r="AK171" s="6" t="str">
        <f>'Gen Rev'!A171</f>
        <v>Donnelsville</v>
      </c>
      <c r="AL171" s="6" t="str">
        <f t="shared" si="7"/>
        <v>Donnelsville</v>
      </c>
      <c r="AM171" s="6" t="b">
        <f t="shared" si="8"/>
        <v>1</v>
      </c>
    </row>
    <row r="172" spans="1:42" s="14" customFormat="1" ht="12" customHeight="1" x14ac:dyDescent="0.2">
      <c r="A172" s="6" t="s">
        <v>550</v>
      </c>
      <c r="B172" s="6"/>
      <c r="C172" s="6" t="s">
        <v>547</v>
      </c>
      <c r="D172" s="6"/>
      <c r="E172" s="49">
        <v>296736.90000000002</v>
      </c>
      <c r="F172" s="49"/>
      <c r="G172" s="49">
        <v>764216.31</v>
      </c>
      <c r="H172" s="49"/>
      <c r="I172" s="49">
        <v>263299.87</v>
      </c>
      <c r="J172" s="49"/>
      <c r="K172" s="49">
        <v>6480</v>
      </c>
      <c r="L172" s="49"/>
      <c r="M172" s="49">
        <v>42494.78</v>
      </c>
      <c r="N172" s="49"/>
      <c r="O172" s="49">
        <v>34629.4</v>
      </c>
      <c r="P172" s="49"/>
      <c r="Q172" s="49">
        <v>3586.37</v>
      </c>
      <c r="R172" s="49"/>
      <c r="S172" s="49">
        <v>33888.06</v>
      </c>
      <c r="T172" s="49"/>
      <c r="U172" s="49">
        <v>0</v>
      </c>
      <c r="V172" s="49"/>
      <c r="W172" s="49">
        <v>0</v>
      </c>
      <c r="X172" s="49"/>
      <c r="Y172" s="49">
        <v>0</v>
      </c>
      <c r="Z172" s="49"/>
      <c r="AA172" s="49">
        <v>224002</v>
      </c>
      <c r="AB172" s="49"/>
      <c r="AC172" s="49">
        <v>0</v>
      </c>
      <c r="AD172" s="49"/>
      <c r="AE172" s="49">
        <v>0</v>
      </c>
      <c r="AF172" s="49"/>
      <c r="AG172" s="49">
        <v>0</v>
      </c>
      <c r="AH172" s="49"/>
      <c r="AI172" s="49">
        <f t="shared" si="9"/>
        <v>1669333.6900000002</v>
      </c>
      <c r="AJ172" s="8"/>
      <c r="AK172" s="6" t="str">
        <f>'Gen Rev'!A172</f>
        <v>Doylestown</v>
      </c>
      <c r="AL172" s="6" t="str">
        <f t="shared" si="7"/>
        <v>Doylestown</v>
      </c>
      <c r="AM172" s="6" t="b">
        <f t="shared" si="8"/>
        <v>1</v>
      </c>
      <c r="AN172" s="6"/>
      <c r="AO172" s="6"/>
      <c r="AP172" s="6"/>
    </row>
    <row r="173" spans="1:42" ht="12" customHeight="1" x14ac:dyDescent="0.2">
      <c r="A173" s="6" t="s">
        <v>160</v>
      </c>
      <c r="C173" s="6" t="s">
        <v>450</v>
      </c>
      <c r="E173" s="49">
        <v>235889.9</v>
      </c>
      <c r="F173" s="49"/>
      <c r="G173" s="49">
        <v>24.64</v>
      </c>
      <c r="H173" s="49"/>
      <c r="I173" s="49">
        <v>101756.16</v>
      </c>
      <c r="J173" s="49"/>
      <c r="K173" s="49">
        <v>0</v>
      </c>
      <c r="L173" s="49"/>
      <c r="M173" s="49">
        <v>32752</v>
      </c>
      <c r="N173" s="49"/>
      <c r="O173" s="49">
        <v>389.59</v>
      </c>
      <c r="P173" s="49"/>
      <c r="Q173" s="49">
        <v>1141.44</v>
      </c>
      <c r="R173" s="49"/>
      <c r="S173" s="49">
        <v>22126.5</v>
      </c>
      <c r="T173" s="49"/>
      <c r="U173" s="49">
        <v>3250</v>
      </c>
      <c r="V173" s="49"/>
      <c r="W173" s="49">
        <v>0</v>
      </c>
      <c r="X173" s="49"/>
      <c r="Y173" s="49">
        <v>0</v>
      </c>
      <c r="Z173" s="49"/>
      <c r="AA173" s="49">
        <v>521812.73</v>
      </c>
      <c r="AB173" s="49"/>
      <c r="AC173" s="49">
        <v>0</v>
      </c>
      <c r="AD173" s="49"/>
      <c r="AE173" s="49">
        <v>1971</v>
      </c>
      <c r="AF173" s="49"/>
      <c r="AG173" s="49">
        <v>0</v>
      </c>
      <c r="AH173" s="49"/>
      <c r="AI173" s="49">
        <f t="shared" si="9"/>
        <v>921113.96</v>
      </c>
      <c r="AJ173" s="8"/>
      <c r="AK173" s="6" t="str">
        <f>'Gen Rev'!A173</f>
        <v>Dresden</v>
      </c>
      <c r="AL173" s="6" t="str">
        <f t="shared" si="7"/>
        <v>Dresden</v>
      </c>
      <c r="AM173" s="6" t="b">
        <f t="shared" si="8"/>
        <v>1</v>
      </c>
      <c r="AN173" s="15"/>
      <c r="AO173" s="15"/>
      <c r="AP173" s="15"/>
    </row>
    <row r="174" spans="1:42" ht="12" customHeight="1" x14ac:dyDescent="0.2">
      <c r="A174" s="6" t="s">
        <v>367</v>
      </c>
      <c r="C174" s="6" t="s">
        <v>366</v>
      </c>
      <c r="E174" s="49">
        <v>14369.25</v>
      </c>
      <c r="F174" s="49"/>
      <c r="G174" s="49">
        <v>89111.88</v>
      </c>
      <c r="H174" s="49"/>
      <c r="I174" s="49">
        <v>72454.210000000006</v>
      </c>
      <c r="J174" s="49"/>
      <c r="K174" s="49">
        <v>0</v>
      </c>
      <c r="L174" s="49"/>
      <c r="M174" s="49">
        <v>1700</v>
      </c>
      <c r="N174" s="49"/>
      <c r="O174" s="49">
        <v>5076.87</v>
      </c>
      <c r="P174" s="49"/>
      <c r="Q174" s="49">
        <v>511.72</v>
      </c>
      <c r="R174" s="49"/>
      <c r="S174" s="49">
        <v>223.23</v>
      </c>
      <c r="T174" s="49"/>
      <c r="U174" s="49">
        <v>0</v>
      </c>
      <c r="V174" s="49"/>
      <c r="W174" s="49">
        <v>0</v>
      </c>
      <c r="X174" s="49"/>
      <c r="Y174" s="49">
        <v>0</v>
      </c>
      <c r="Z174" s="49"/>
      <c r="AA174" s="49">
        <v>0</v>
      </c>
      <c r="AB174" s="49"/>
      <c r="AC174" s="49">
        <v>0</v>
      </c>
      <c r="AD174" s="49"/>
      <c r="AE174" s="49">
        <v>0</v>
      </c>
      <c r="AF174" s="49"/>
      <c r="AG174" s="49">
        <v>0</v>
      </c>
      <c r="AH174" s="49"/>
      <c r="AI174" s="49">
        <f t="shared" si="9"/>
        <v>183447.16000000003</v>
      </c>
      <c r="AJ174" s="8"/>
      <c r="AK174" s="6" t="str">
        <f>'Gen Rev'!A174</f>
        <v>Dunkirk</v>
      </c>
      <c r="AL174" s="6" t="str">
        <f t="shared" si="7"/>
        <v>Dunkirk</v>
      </c>
      <c r="AM174" s="6" t="b">
        <f t="shared" si="8"/>
        <v>1</v>
      </c>
      <c r="AN174" s="15"/>
      <c r="AO174" s="15"/>
      <c r="AP174" s="15"/>
    </row>
    <row r="175" spans="1:42" ht="12" customHeight="1" x14ac:dyDescent="0.2">
      <c r="A175" s="6" t="s">
        <v>188</v>
      </c>
      <c r="C175" s="6" t="s">
        <v>476</v>
      </c>
      <c r="E175" s="49">
        <v>8166.91</v>
      </c>
      <c r="F175" s="49"/>
      <c r="G175" s="49">
        <v>0</v>
      </c>
      <c r="H175" s="49"/>
      <c r="I175" s="49">
        <v>37867.25</v>
      </c>
      <c r="J175" s="49"/>
      <c r="K175" s="49">
        <v>0</v>
      </c>
      <c r="L175" s="49"/>
      <c r="M175" s="49">
        <v>4820.72</v>
      </c>
      <c r="N175" s="49"/>
      <c r="O175" s="49">
        <v>0</v>
      </c>
      <c r="P175" s="49"/>
      <c r="Q175" s="49">
        <v>46.17</v>
      </c>
      <c r="R175" s="49"/>
      <c r="S175" s="49">
        <v>405</v>
      </c>
      <c r="T175" s="49"/>
      <c r="U175" s="49">
        <v>0</v>
      </c>
      <c r="V175" s="49"/>
      <c r="W175" s="49">
        <v>0</v>
      </c>
      <c r="X175" s="49"/>
      <c r="Y175" s="49">
        <v>0</v>
      </c>
      <c r="Z175" s="49"/>
      <c r="AA175" s="49">
        <v>0</v>
      </c>
      <c r="AB175" s="49"/>
      <c r="AC175" s="49">
        <v>0</v>
      </c>
      <c r="AD175" s="49"/>
      <c r="AE175" s="49">
        <v>0</v>
      </c>
      <c r="AF175" s="49"/>
      <c r="AG175" s="49">
        <v>0</v>
      </c>
      <c r="AH175" s="49"/>
      <c r="AI175" s="49">
        <f t="shared" si="9"/>
        <v>51306.05</v>
      </c>
      <c r="AJ175" s="8"/>
      <c r="AK175" s="6" t="str">
        <f>'Gen Rev'!A175</f>
        <v>Dupont</v>
      </c>
      <c r="AL175" s="6" t="str">
        <f t="shared" si="7"/>
        <v>Dupont</v>
      </c>
      <c r="AM175" s="6" t="b">
        <f t="shared" si="8"/>
        <v>1</v>
      </c>
      <c r="AN175" s="13"/>
      <c r="AO175" s="13"/>
      <c r="AP175" s="13"/>
    </row>
    <row r="176" spans="1:42" ht="12" customHeight="1" x14ac:dyDescent="0.2">
      <c r="A176" s="6" t="s">
        <v>504</v>
      </c>
      <c r="C176" s="6" t="s">
        <v>502</v>
      </c>
      <c r="E176" s="49">
        <v>39331.65</v>
      </c>
      <c r="F176" s="49"/>
      <c r="G176" s="49">
        <v>322006.57</v>
      </c>
      <c r="H176" s="49"/>
      <c r="I176" s="49">
        <v>181368.29</v>
      </c>
      <c r="J176" s="49"/>
      <c r="K176" s="49">
        <v>0</v>
      </c>
      <c r="L176" s="49"/>
      <c r="M176" s="49">
        <v>2773.72</v>
      </c>
      <c r="N176" s="49"/>
      <c r="O176" s="49">
        <v>65224.78</v>
      </c>
      <c r="P176" s="49"/>
      <c r="Q176" s="49">
        <v>823.81</v>
      </c>
      <c r="R176" s="49"/>
      <c r="S176" s="49">
        <v>0</v>
      </c>
      <c r="T176" s="49"/>
      <c r="U176" s="49">
        <v>0</v>
      </c>
      <c r="V176" s="49"/>
      <c r="W176" s="49">
        <v>0</v>
      </c>
      <c r="X176" s="49"/>
      <c r="Y176" s="49">
        <v>1840.37</v>
      </c>
      <c r="Z176" s="49"/>
      <c r="AA176" s="49">
        <v>10000</v>
      </c>
      <c r="AB176" s="49"/>
      <c r="AC176" s="49">
        <v>0</v>
      </c>
      <c r="AD176" s="49"/>
      <c r="AE176" s="49">
        <v>0</v>
      </c>
      <c r="AF176" s="49"/>
      <c r="AG176" s="49">
        <v>2683.38</v>
      </c>
      <c r="AH176" s="49"/>
      <c r="AI176" s="49">
        <f t="shared" si="9"/>
        <v>626052.57000000007</v>
      </c>
      <c r="AJ176" s="8"/>
      <c r="AK176" s="6" t="str">
        <f>'Gen Rev'!A176</f>
        <v>East Canton</v>
      </c>
      <c r="AL176" s="6" t="str">
        <f t="shared" si="7"/>
        <v>East Canton</v>
      </c>
      <c r="AM176" s="6" t="b">
        <f t="shared" si="8"/>
        <v>1</v>
      </c>
    </row>
    <row r="177" spans="1:42" s="14" customFormat="1" ht="12" customHeight="1" x14ac:dyDescent="0.2">
      <c r="A177" s="8" t="s">
        <v>818</v>
      </c>
      <c r="B177" s="8"/>
      <c r="C177" s="8" t="s">
        <v>283</v>
      </c>
      <c r="D177" s="8"/>
      <c r="E177" s="49">
        <v>1630861</v>
      </c>
      <c r="F177" s="49"/>
      <c r="G177" s="49">
        <v>0</v>
      </c>
      <c r="H177" s="49"/>
      <c r="I177" s="49">
        <v>867568</v>
      </c>
      <c r="J177" s="49"/>
      <c r="K177" s="49">
        <v>0</v>
      </c>
      <c r="L177" s="49"/>
      <c r="M177" s="49">
        <v>295745</v>
      </c>
      <c r="N177" s="49"/>
      <c r="O177" s="49">
        <f>72184+14953</f>
        <v>87137</v>
      </c>
      <c r="P177" s="49"/>
      <c r="Q177" s="49">
        <v>2398</v>
      </c>
      <c r="R177" s="49"/>
      <c r="S177" s="49">
        <v>73447</v>
      </c>
      <c r="T177" s="49"/>
      <c r="U177" s="49">
        <v>395000</v>
      </c>
      <c r="V177" s="49"/>
      <c r="W177" s="49">
        <v>7450</v>
      </c>
      <c r="X177" s="49"/>
      <c r="Y177" s="49">
        <v>57175</v>
      </c>
      <c r="Z177" s="49"/>
      <c r="AA177" s="49">
        <v>114448</v>
      </c>
      <c r="AB177" s="49"/>
      <c r="AC177" s="49">
        <v>0</v>
      </c>
      <c r="AD177" s="49"/>
      <c r="AE177" s="49">
        <v>0</v>
      </c>
      <c r="AF177" s="49"/>
      <c r="AG177" s="49">
        <v>0</v>
      </c>
      <c r="AH177" s="49"/>
      <c r="AI177" s="49">
        <f t="shared" si="9"/>
        <v>3531229</v>
      </c>
      <c r="AJ177" s="8"/>
      <c r="AK177" s="6" t="str">
        <f>'Gen Rev'!A177</f>
        <v>East Palestine</v>
      </c>
      <c r="AL177" s="6" t="str">
        <f t="shared" si="7"/>
        <v>East Palestine</v>
      </c>
      <c r="AM177" s="6" t="b">
        <f t="shared" si="8"/>
        <v>1</v>
      </c>
      <c r="AN177" s="41"/>
      <c r="AO177" s="41"/>
      <c r="AP177" s="41"/>
    </row>
    <row r="178" spans="1:42" ht="12" customHeight="1" x14ac:dyDescent="0.2">
      <c r="A178" s="6" t="s">
        <v>209</v>
      </c>
      <c r="C178" s="6" t="s">
        <v>502</v>
      </c>
      <c r="E178" s="49">
        <v>168551.63</v>
      </c>
      <c r="F178" s="49"/>
      <c r="G178" s="49">
        <v>0</v>
      </c>
      <c r="H178" s="49"/>
      <c r="I178" s="49">
        <v>51646.2</v>
      </c>
      <c r="J178" s="49"/>
      <c r="K178" s="49">
        <v>0</v>
      </c>
      <c r="L178" s="49"/>
      <c r="M178" s="49">
        <v>42884.25</v>
      </c>
      <c r="N178" s="49"/>
      <c r="O178" s="49">
        <v>11698.28</v>
      </c>
      <c r="P178" s="49"/>
      <c r="Q178" s="49">
        <v>149.16</v>
      </c>
      <c r="R178" s="49"/>
      <c r="S178" s="49">
        <v>19169.82</v>
      </c>
      <c r="T178" s="49"/>
      <c r="U178" s="49">
        <v>0</v>
      </c>
      <c r="V178" s="49"/>
      <c r="W178" s="49">
        <v>0</v>
      </c>
      <c r="X178" s="49"/>
      <c r="Y178" s="49">
        <v>0</v>
      </c>
      <c r="Z178" s="49"/>
      <c r="AA178" s="49">
        <v>0</v>
      </c>
      <c r="AB178" s="49"/>
      <c r="AC178" s="49">
        <v>0</v>
      </c>
      <c r="AD178" s="49"/>
      <c r="AE178" s="49">
        <v>0</v>
      </c>
      <c r="AF178" s="49"/>
      <c r="AG178" s="49">
        <v>0</v>
      </c>
      <c r="AH178" s="49"/>
      <c r="AI178" s="49">
        <f t="shared" si="9"/>
        <v>294099.34000000003</v>
      </c>
      <c r="AJ178" s="8"/>
      <c r="AK178" s="6" t="str">
        <f>'Gen Rev'!A178</f>
        <v>East Sparta</v>
      </c>
      <c r="AL178" s="6" t="str">
        <f t="shared" si="7"/>
        <v>East Sparta</v>
      </c>
      <c r="AM178" s="6" t="b">
        <f t="shared" si="8"/>
        <v>1</v>
      </c>
    </row>
    <row r="179" spans="1:42" ht="12" customHeight="1" x14ac:dyDescent="0.2">
      <c r="A179" s="6" t="s">
        <v>553</v>
      </c>
      <c r="C179" s="6" t="s">
        <v>554</v>
      </c>
      <c r="E179" s="49">
        <v>219013</v>
      </c>
      <c r="F179" s="49"/>
      <c r="G179" s="49">
        <v>509400</v>
      </c>
      <c r="H179" s="49"/>
      <c r="I179" s="49">
        <v>284216</v>
      </c>
      <c r="J179" s="49"/>
      <c r="K179" s="49">
        <v>0</v>
      </c>
      <c r="L179" s="49"/>
      <c r="M179" s="49">
        <v>60104</v>
      </c>
      <c r="N179" s="49"/>
      <c r="O179" s="49">
        <v>13340</v>
      </c>
      <c r="P179" s="49"/>
      <c r="Q179" s="49">
        <v>2810</v>
      </c>
      <c r="R179" s="49"/>
      <c r="S179" s="49">
        <v>94460</v>
      </c>
      <c r="T179" s="49"/>
      <c r="U179" s="49">
        <v>92011</v>
      </c>
      <c r="V179" s="49"/>
      <c r="W179" s="49">
        <v>27514</v>
      </c>
      <c r="X179" s="49"/>
      <c r="Y179" s="49">
        <v>0</v>
      </c>
      <c r="Z179" s="49"/>
      <c r="AA179" s="49">
        <v>60052</v>
      </c>
      <c r="AB179" s="49"/>
      <c r="AC179" s="49">
        <v>0</v>
      </c>
      <c r="AD179" s="49"/>
      <c r="AE179" s="49">
        <v>500</v>
      </c>
      <c r="AF179" s="49"/>
      <c r="AG179" s="49">
        <v>0</v>
      </c>
      <c r="AH179" s="49"/>
      <c r="AI179" s="49">
        <f t="shared" si="9"/>
        <v>1363420</v>
      </c>
      <c r="AJ179" s="8"/>
      <c r="AK179" s="6" t="str">
        <f>'Gen Rev'!A179</f>
        <v>Edgerton</v>
      </c>
      <c r="AL179" s="6" t="str">
        <f t="shared" si="7"/>
        <v>Edgerton</v>
      </c>
      <c r="AM179" s="6" t="b">
        <f t="shared" si="8"/>
        <v>1</v>
      </c>
    </row>
    <row r="180" spans="1:42" ht="12" customHeight="1" x14ac:dyDescent="0.2">
      <c r="A180" s="6" t="s">
        <v>158</v>
      </c>
      <c r="C180" s="6" t="s">
        <v>226</v>
      </c>
      <c r="E180" s="49">
        <v>53226.03</v>
      </c>
      <c r="F180" s="49"/>
      <c r="G180" s="49">
        <v>22208.77</v>
      </c>
      <c r="H180" s="49"/>
      <c r="I180" s="49">
        <v>38721.99</v>
      </c>
      <c r="J180" s="49"/>
      <c r="K180" s="49">
        <v>0</v>
      </c>
      <c r="L180" s="49"/>
      <c r="M180" s="49">
        <v>0</v>
      </c>
      <c r="N180" s="49"/>
      <c r="O180" s="49">
        <v>22061.69</v>
      </c>
      <c r="P180" s="49"/>
      <c r="Q180" s="49">
        <v>48.47</v>
      </c>
      <c r="R180" s="49"/>
      <c r="S180" s="49">
        <v>1791.02</v>
      </c>
      <c r="T180" s="49"/>
      <c r="U180" s="49">
        <v>0</v>
      </c>
      <c r="V180" s="49"/>
      <c r="W180" s="49">
        <v>0</v>
      </c>
      <c r="X180" s="49"/>
      <c r="Y180" s="49">
        <v>0</v>
      </c>
      <c r="Z180" s="49"/>
      <c r="AA180" s="49">
        <v>0</v>
      </c>
      <c r="AB180" s="49"/>
      <c r="AC180" s="49">
        <v>0</v>
      </c>
      <c r="AD180" s="49"/>
      <c r="AE180" s="49">
        <v>1262.49</v>
      </c>
      <c r="AF180" s="49"/>
      <c r="AG180" s="49">
        <v>0</v>
      </c>
      <c r="AH180" s="49"/>
      <c r="AI180" s="49">
        <f t="shared" si="9"/>
        <v>139320.46</v>
      </c>
      <c r="AJ180" s="8"/>
      <c r="AK180" s="6" t="str">
        <f>'Gen Rev'!A180</f>
        <v>Edison</v>
      </c>
      <c r="AL180" s="6" t="str">
        <f t="shared" si="7"/>
        <v>Edison</v>
      </c>
      <c r="AM180" s="6" t="b">
        <f t="shared" si="8"/>
        <v>1</v>
      </c>
    </row>
    <row r="181" spans="1:42" ht="12" customHeight="1" x14ac:dyDescent="0.2">
      <c r="A181" s="6" t="s">
        <v>235</v>
      </c>
      <c r="C181" s="6" t="s">
        <v>554</v>
      </c>
      <c r="E181" s="49">
        <v>20312.47</v>
      </c>
      <c r="F181" s="49"/>
      <c r="G181" s="49">
        <v>296105.05</v>
      </c>
      <c r="H181" s="49"/>
      <c r="I181" s="49">
        <v>148740.54</v>
      </c>
      <c r="J181" s="49"/>
      <c r="K181" s="49">
        <v>1369.01</v>
      </c>
      <c r="L181" s="49"/>
      <c r="M181" s="49">
        <v>0</v>
      </c>
      <c r="N181" s="49"/>
      <c r="O181" s="49">
        <v>6256.11</v>
      </c>
      <c r="P181" s="49"/>
      <c r="Q181" s="49">
        <v>278.31</v>
      </c>
      <c r="R181" s="49"/>
      <c r="S181" s="49">
        <v>22282.13</v>
      </c>
      <c r="T181" s="49"/>
      <c r="U181" s="49">
        <v>0</v>
      </c>
      <c r="V181" s="49"/>
      <c r="W181" s="49">
        <v>0</v>
      </c>
      <c r="X181" s="49"/>
      <c r="Y181" s="49">
        <v>0</v>
      </c>
      <c r="Z181" s="49"/>
      <c r="AA181" s="49">
        <v>0</v>
      </c>
      <c r="AB181" s="49"/>
      <c r="AC181" s="49">
        <v>0</v>
      </c>
      <c r="AD181" s="49"/>
      <c r="AE181" s="49">
        <v>7311.63</v>
      </c>
      <c r="AF181" s="49"/>
      <c r="AG181" s="49">
        <v>0</v>
      </c>
      <c r="AH181" s="49"/>
      <c r="AI181" s="49">
        <f t="shared" si="9"/>
        <v>502655.25000000006</v>
      </c>
      <c r="AJ181" s="8"/>
      <c r="AK181" s="6" t="str">
        <f>'Gen Rev'!A181</f>
        <v>Edon</v>
      </c>
      <c r="AL181" s="6" t="str">
        <f t="shared" si="7"/>
        <v>Edon</v>
      </c>
      <c r="AM181" s="6" t="b">
        <f t="shared" si="8"/>
        <v>1</v>
      </c>
      <c r="AN181" s="13"/>
      <c r="AO181" s="13"/>
      <c r="AP181" s="13"/>
    </row>
    <row r="182" spans="1:42" ht="12" customHeight="1" x14ac:dyDescent="0.2">
      <c r="A182" s="6" t="s">
        <v>185</v>
      </c>
      <c r="C182" s="6" t="s">
        <v>472</v>
      </c>
      <c r="E182" s="49">
        <v>28746.99</v>
      </c>
      <c r="F182" s="49"/>
      <c r="G182" s="49">
        <v>0</v>
      </c>
      <c r="H182" s="49"/>
      <c r="I182" s="49">
        <v>194665.17</v>
      </c>
      <c r="J182" s="49"/>
      <c r="K182" s="49">
        <v>0</v>
      </c>
      <c r="L182" s="49"/>
      <c r="M182" s="49">
        <v>88502.87</v>
      </c>
      <c r="N182" s="49"/>
      <c r="O182" s="49">
        <v>65</v>
      </c>
      <c r="P182" s="49"/>
      <c r="Q182" s="49">
        <v>2845.96</v>
      </c>
      <c r="R182" s="49"/>
      <c r="S182" s="49">
        <v>7844.38</v>
      </c>
      <c r="T182" s="49"/>
      <c r="U182" s="49">
        <v>0</v>
      </c>
      <c r="V182" s="49"/>
      <c r="W182" s="49">
        <v>0</v>
      </c>
      <c r="X182" s="49"/>
      <c r="Y182" s="49">
        <v>0</v>
      </c>
      <c r="Z182" s="49"/>
      <c r="AA182" s="49">
        <v>17574.919999999998</v>
      </c>
      <c r="AB182" s="49"/>
      <c r="AC182" s="49">
        <v>0</v>
      </c>
      <c r="AD182" s="49"/>
      <c r="AE182" s="49">
        <v>0</v>
      </c>
      <c r="AF182" s="49"/>
      <c r="AG182" s="49">
        <v>0</v>
      </c>
      <c r="AH182" s="49"/>
      <c r="AI182" s="49">
        <f t="shared" si="9"/>
        <v>340245.29000000004</v>
      </c>
      <c r="AJ182" s="8"/>
      <c r="AK182" s="6" t="str">
        <f>'Gen Rev'!A182</f>
        <v>Eldorado</v>
      </c>
      <c r="AL182" s="6" t="str">
        <f t="shared" si="7"/>
        <v>Eldorado</v>
      </c>
      <c r="AM182" s="6" t="b">
        <f t="shared" si="8"/>
        <v>1</v>
      </c>
      <c r="AN182" s="15"/>
      <c r="AO182" s="15"/>
      <c r="AP182" s="15"/>
    </row>
    <row r="183" spans="1:42" ht="12" customHeight="1" x14ac:dyDescent="0.2">
      <c r="A183" s="6" t="s">
        <v>3</v>
      </c>
      <c r="C183" s="6" t="s">
        <v>651</v>
      </c>
      <c r="E183" s="49">
        <v>64251.79</v>
      </c>
      <c r="F183" s="49"/>
      <c r="G183" s="49">
        <v>445704.21</v>
      </c>
      <c r="H183" s="49"/>
      <c r="I183" s="49">
        <v>180864.77</v>
      </c>
      <c r="J183" s="49"/>
      <c r="K183" s="49">
        <v>0</v>
      </c>
      <c r="L183" s="49"/>
      <c r="M183" s="49">
        <v>0</v>
      </c>
      <c r="N183" s="49"/>
      <c r="O183" s="49">
        <v>37287.07</v>
      </c>
      <c r="P183" s="49"/>
      <c r="Q183" s="49">
        <v>176.75</v>
      </c>
      <c r="R183" s="49"/>
      <c r="S183" s="49">
        <v>5844.19</v>
      </c>
      <c r="T183" s="49"/>
      <c r="U183" s="49">
        <v>0</v>
      </c>
      <c r="V183" s="49"/>
      <c r="W183" s="49">
        <v>0</v>
      </c>
      <c r="X183" s="49"/>
      <c r="Y183" s="49">
        <v>0</v>
      </c>
      <c r="Z183" s="49"/>
      <c r="AA183" s="49">
        <v>384023.28</v>
      </c>
      <c r="AB183" s="49"/>
      <c r="AC183" s="49">
        <v>0</v>
      </c>
      <c r="AD183" s="49"/>
      <c r="AE183" s="49">
        <v>285339.14</v>
      </c>
      <c r="AF183" s="49"/>
      <c r="AG183" s="49">
        <v>0</v>
      </c>
      <c r="AH183" s="49"/>
      <c r="AI183" s="49">
        <f t="shared" si="9"/>
        <v>1403491.2000000002</v>
      </c>
      <c r="AJ183" s="8"/>
      <c r="AK183" s="6" t="str">
        <f>'Gen Rev'!A183</f>
        <v>Elida</v>
      </c>
      <c r="AL183" s="6" t="str">
        <f t="shared" si="7"/>
        <v>Elida</v>
      </c>
      <c r="AM183" s="6" t="b">
        <f t="shared" si="8"/>
        <v>1</v>
      </c>
      <c r="AN183" s="8"/>
      <c r="AO183" s="8"/>
      <c r="AP183" s="8"/>
    </row>
    <row r="184" spans="1:42" ht="12" customHeight="1" x14ac:dyDescent="0.2">
      <c r="A184" s="6" t="s">
        <v>166</v>
      </c>
      <c r="C184" s="6" t="s">
        <v>192</v>
      </c>
      <c r="E184" s="49">
        <v>324296.67</v>
      </c>
      <c r="F184" s="49"/>
      <c r="G184" s="49">
        <v>740095.22</v>
      </c>
      <c r="H184" s="49"/>
      <c r="I184" s="49">
        <v>138997.76999999999</v>
      </c>
      <c r="J184" s="49"/>
      <c r="K184" s="49">
        <v>0</v>
      </c>
      <c r="L184" s="49"/>
      <c r="M184" s="49">
        <v>9466.64</v>
      </c>
      <c r="N184" s="49"/>
      <c r="O184" s="49">
        <v>14018.15</v>
      </c>
      <c r="P184" s="49"/>
      <c r="Q184" s="49">
        <v>2991.73</v>
      </c>
      <c r="R184" s="49"/>
      <c r="S184" s="49">
        <v>15912.98</v>
      </c>
      <c r="T184" s="49"/>
      <c r="U184" s="49">
        <v>0</v>
      </c>
      <c r="V184" s="49"/>
      <c r="W184" s="49">
        <v>0</v>
      </c>
      <c r="X184" s="49"/>
      <c r="Y184" s="49">
        <v>0</v>
      </c>
      <c r="Z184" s="49"/>
      <c r="AA184" s="49">
        <v>0</v>
      </c>
      <c r="AB184" s="49"/>
      <c r="AC184" s="49">
        <v>0</v>
      </c>
      <c r="AD184" s="49"/>
      <c r="AE184" s="49">
        <v>0</v>
      </c>
      <c r="AF184" s="49"/>
      <c r="AG184" s="49">
        <v>0</v>
      </c>
      <c r="AH184" s="49"/>
      <c r="AI184" s="49">
        <f t="shared" si="9"/>
        <v>1245779.1599999997</v>
      </c>
      <c r="AJ184" s="8"/>
      <c r="AK184" s="6" t="str">
        <f>'Gen Rev'!A184</f>
        <v>Elmore</v>
      </c>
      <c r="AL184" s="6" t="str">
        <f t="shared" si="7"/>
        <v>Elmore</v>
      </c>
      <c r="AM184" s="6" t="b">
        <f t="shared" si="8"/>
        <v>1</v>
      </c>
    </row>
    <row r="185" spans="1:42" ht="12" customHeight="1" x14ac:dyDescent="0.2">
      <c r="A185" s="6" t="s">
        <v>87</v>
      </c>
      <c r="C185" s="6" t="s">
        <v>351</v>
      </c>
      <c r="E185" s="49">
        <v>306228.81</v>
      </c>
      <c r="F185" s="49"/>
      <c r="G185" s="49">
        <v>267136.78999999998</v>
      </c>
      <c r="H185" s="49"/>
      <c r="I185" s="49">
        <v>142124.44</v>
      </c>
      <c r="J185" s="49"/>
      <c r="K185" s="49">
        <v>0</v>
      </c>
      <c r="L185" s="49"/>
      <c r="M185" s="49">
        <v>189146.27</v>
      </c>
      <c r="N185" s="49"/>
      <c r="O185" s="49">
        <v>499167.82</v>
      </c>
      <c r="P185" s="49"/>
      <c r="Q185" s="49">
        <v>477.63</v>
      </c>
      <c r="R185" s="49"/>
      <c r="S185" s="49">
        <v>282187.84999999998</v>
      </c>
      <c r="T185" s="49"/>
      <c r="U185" s="49">
        <v>0</v>
      </c>
      <c r="V185" s="49"/>
      <c r="W185" s="49">
        <v>0</v>
      </c>
      <c r="X185" s="49"/>
      <c r="Y185" s="49">
        <v>0</v>
      </c>
      <c r="Z185" s="49"/>
      <c r="AA185" s="49">
        <v>0</v>
      </c>
      <c r="AB185" s="49"/>
      <c r="AC185" s="49">
        <v>0</v>
      </c>
      <c r="AD185" s="49"/>
      <c r="AE185" s="49">
        <v>0</v>
      </c>
      <c r="AF185" s="49"/>
      <c r="AG185" s="49">
        <v>0</v>
      </c>
      <c r="AH185" s="49"/>
      <c r="AI185" s="49">
        <f t="shared" si="9"/>
        <v>1686469.6099999999</v>
      </c>
      <c r="AJ185" s="8"/>
      <c r="AK185" s="6" t="str">
        <f>'Gen Rev'!A185</f>
        <v>Elmwood Place</v>
      </c>
      <c r="AL185" s="6" t="str">
        <f t="shared" si="7"/>
        <v>Elmwood Place</v>
      </c>
      <c r="AM185" s="6" t="b">
        <f t="shared" si="8"/>
        <v>1</v>
      </c>
      <c r="AN185" s="14"/>
      <c r="AO185" s="14"/>
      <c r="AP185" s="14"/>
    </row>
    <row r="186" spans="1:42" ht="12" customHeight="1" x14ac:dyDescent="0.2">
      <c r="A186" s="6" t="s">
        <v>273</v>
      </c>
      <c r="C186" s="6" t="s">
        <v>274</v>
      </c>
      <c r="E186" s="49">
        <f>344430+10831</f>
        <v>355261</v>
      </c>
      <c r="F186" s="49"/>
      <c r="G186" s="49">
        <v>0</v>
      </c>
      <c r="H186" s="49"/>
      <c r="I186" s="49">
        <f>261145-152740</f>
        <v>108405</v>
      </c>
      <c r="J186" s="49"/>
      <c r="K186" s="49">
        <v>291</v>
      </c>
      <c r="L186" s="49"/>
      <c r="M186" s="49">
        <v>624748</v>
      </c>
      <c r="N186" s="49"/>
      <c r="O186" s="49">
        <f>2885+46764</f>
        <v>49649</v>
      </c>
      <c r="P186" s="49"/>
      <c r="Q186" s="49">
        <v>32977</v>
      </c>
      <c r="R186" s="49"/>
      <c r="S186" s="49">
        <f>388448+5699</f>
        <v>394147</v>
      </c>
      <c r="T186" s="49"/>
      <c r="U186" s="49">
        <v>0</v>
      </c>
      <c r="V186" s="49"/>
      <c r="W186" s="49">
        <v>0</v>
      </c>
      <c r="X186" s="49"/>
      <c r="Y186" s="49">
        <v>0</v>
      </c>
      <c r="Z186" s="49"/>
      <c r="AA186" s="49">
        <v>11529</v>
      </c>
      <c r="AB186" s="49"/>
      <c r="AC186" s="49">
        <v>0</v>
      </c>
      <c r="AD186" s="49"/>
      <c r="AE186" s="49">
        <v>0</v>
      </c>
      <c r="AF186" s="49"/>
      <c r="AG186" s="49">
        <v>0</v>
      </c>
      <c r="AH186" s="49"/>
      <c r="AI186" s="49">
        <f t="shared" si="9"/>
        <v>1577007</v>
      </c>
      <c r="AJ186" s="8"/>
      <c r="AK186" s="6" t="str">
        <f>'Gen Rev'!A186</f>
        <v>Enon</v>
      </c>
      <c r="AL186" s="6" t="str">
        <f t="shared" si="7"/>
        <v>Enon</v>
      </c>
      <c r="AM186" s="6" t="b">
        <f t="shared" si="8"/>
        <v>1</v>
      </c>
    </row>
    <row r="187" spans="1:42" ht="12" customHeight="1" x14ac:dyDescent="0.2">
      <c r="A187" s="6" t="s">
        <v>353</v>
      </c>
      <c r="C187" s="6" t="s">
        <v>351</v>
      </c>
      <c r="E187" s="49">
        <v>412178</v>
      </c>
      <c r="F187" s="49"/>
      <c r="G187" s="49">
        <v>13168803</v>
      </c>
      <c r="H187" s="49"/>
      <c r="I187" s="49">
        <v>1541335</v>
      </c>
      <c r="J187" s="49"/>
      <c r="K187" s="49">
        <v>0</v>
      </c>
      <c r="L187" s="49"/>
      <c r="M187" s="49">
        <v>413844</v>
      </c>
      <c r="N187" s="49"/>
      <c r="O187" s="49">
        <v>252557</v>
      </c>
      <c r="P187" s="49"/>
      <c r="Q187" s="49">
        <v>37590</v>
      </c>
      <c r="R187" s="49"/>
      <c r="S187" s="49">
        <v>0</v>
      </c>
      <c r="T187" s="49"/>
      <c r="U187" s="49">
        <v>4305000</v>
      </c>
      <c r="V187" s="49"/>
      <c r="W187" s="49">
        <v>0</v>
      </c>
      <c r="X187" s="49"/>
      <c r="Y187" s="49">
        <v>21140</v>
      </c>
      <c r="Z187" s="49"/>
      <c r="AA187" s="49">
        <v>2296500</v>
      </c>
      <c r="AB187" s="49"/>
      <c r="AC187" s="49">
        <v>100000</v>
      </c>
      <c r="AD187" s="49"/>
      <c r="AE187" s="49">
        <v>88266</v>
      </c>
      <c r="AF187" s="49"/>
      <c r="AG187" s="49">
        <v>0</v>
      </c>
      <c r="AH187" s="49"/>
      <c r="AI187" s="49">
        <f t="shared" si="9"/>
        <v>22637213</v>
      </c>
      <c r="AJ187" s="8"/>
      <c r="AK187" s="6" t="str">
        <f>'Gen Rev'!A187</f>
        <v>Evendale</v>
      </c>
      <c r="AL187" s="6" t="str">
        <f t="shared" si="7"/>
        <v>Evendale</v>
      </c>
      <c r="AM187" s="6" t="b">
        <f t="shared" si="8"/>
        <v>1</v>
      </c>
      <c r="AN187" s="14"/>
      <c r="AO187" s="14"/>
      <c r="AP187" s="14"/>
    </row>
    <row r="188" spans="1:42" s="14" customFormat="1" ht="12" customHeight="1" x14ac:dyDescent="0.2">
      <c r="A188" s="6" t="s">
        <v>88</v>
      </c>
      <c r="B188" s="6"/>
      <c r="C188" s="6" t="s">
        <v>351</v>
      </c>
      <c r="D188" s="6"/>
      <c r="E188" s="49">
        <v>138634.13</v>
      </c>
      <c r="F188" s="49"/>
      <c r="G188" s="49">
        <v>3183534.66</v>
      </c>
      <c r="H188" s="49"/>
      <c r="I188" s="49">
        <v>300158.21000000002</v>
      </c>
      <c r="J188" s="49"/>
      <c r="K188" s="49">
        <v>0</v>
      </c>
      <c r="L188" s="49"/>
      <c r="M188" s="49">
        <v>14585.99</v>
      </c>
      <c r="N188" s="49"/>
      <c r="O188" s="49">
        <v>221315.83</v>
      </c>
      <c r="P188" s="49"/>
      <c r="Q188" s="49">
        <v>4350.3900000000003</v>
      </c>
      <c r="R188" s="49"/>
      <c r="S188" s="49">
        <v>195495.55</v>
      </c>
      <c r="T188" s="49"/>
      <c r="U188" s="49">
        <v>0</v>
      </c>
      <c r="V188" s="49"/>
      <c r="W188" s="49">
        <v>0</v>
      </c>
      <c r="X188" s="49"/>
      <c r="Y188" s="49">
        <v>0</v>
      </c>
      <c r="Z188" s="49"/>
      <c r="AA188" s="49">
        <v>185466.56</v>
      </c>
      <c r="AB188" s="49"/>
      <c r="AC188" s="49">
        <v>750480.51</v>
      </c>
      <c r="AD188" s="49"/>
      <c r="AE188" s="49">
        <v>789834.61</v>
      </c>
      <c r="AF188" s="49"/>
      <c r="AG188" s="49">
        <v>0</v>
      </c>
      <c r="AH188" s="49"/>
      <c r="AI188" s="49">
        <f t="shared" si="9"/>
        <v>5783856.4400000004</v>
      </c>
      <c r="AJ188" s="8"/>
      <c r="AK188" s="6" t="str">
        <f>'Gen Rev'!A188</f>
        <v>Fairfax</v>
      </c>
      <c r="AL188" s="6" t="str">
        <f t="shared" si="7"/>
        <v>Fairfax</v>
      </c>
      <c r="AM188" s="6" t="b">
        <f t="shared" si="8"/>
        <v>1</v>
      </c>
      <c r="AN188" s="6"/>
      <c r="AO188" s="6"/>
      <c r="AP188" s="6"/>
    </row>
    <row r="189" spans="1:42" ht="12" customHeight="1" x14ac:dyDescent="0.2">
      <c r="A189" s="6" t="s">
        <v>398</v>
      </c>
      <c r="C189" s="6" t="s">
        <v>399</v>
      </c>
      <c r="E189" s="49">
        <v>545182.24</v>
      </c>
      <c r="F189" s="49"/>
      <c r="G189" s="49">
        <v>704918.08</v>
      </c>
      <c r="H189" s="49"/>
      <c r="I189" s="49">
        <v>580295.9</v>
      </c>
      <c r="J189" s="49"/>
      <c r="K189" s="49">
        <v>87626.3</v>
      </c>
      <c r="L189" s="49"/>
      <c r="M189" s="49">
        <v>146942.92000000001</v>
      </c>
      <c r="N189" s="49"/>
      <c r="O189" s="49">
        <v>95418.32</v>
      </c>
      <c r="P189" s="49"/>
      <c r="Q189" s="49">
        <v>2803.97</v>
      </c>
      <c r="R189" s="49"/>
      <c r="S189" s="49">
        <v>180520.34</v>
      </c>
      <c r="T189" s="49"/>
      <c r="U189" s="49">
        <v>0</v>
      </c>
      <c r="V189" s="49"/>
      <c r="W189" s="49">
        <v>0</v>
      </c>
      <c r="X189" s="49"/>
      <c r="Y189" s="49">
        <v>0</v>
      </c>
      <c r="Z189" s="49"/>
      <c r="AA189" s="49">
        <v>99558.06</v>
      </c>
      <c r="AB189" s="49"/>
      <c r="AC189" s="49">
        <v>156401.25</v>
      </c>
      <c r="AD189" s="49"/>
      <c r="AE189" s="49">
        <v>0</v>
      </c>
      <c r="AF189" s="49"/>
      <c r="AG189" s="49">
        <v>0</v>
      </c>
      <c r="AH189" s="49"/>
      <c r="AI189" s="49">
        <f t="shared" si="9"/>
        <v>2599667.38</v>
      </c>
      <c r="AJ189" s="8"/>
      <c r="AK189" s="6" t="str">
        <f>'Gen Rev'!A189</f>
        <v>Fairport Harbor</v>
      </c>
      <c r="AL189" s="6" t="str">
        <f t="shared" si="7"/>
        <v>Fairport Harbor</v>
      </c>
      <c r="AM189" s="6" t="b">
        <f t="shared" si="8"/>
        <v>1</v>
      </c>
    </row>
    <row r="190" spans="1:42" ht="12" customHeight="1" x14ac:dyDescent="0.2">
      <c r="A190" s="6" t="s">
        <v>153</v>
      </c>
      <c r="C190" s="6" t="s">
        <v>446</v>
      </c>
      <c r="E190" s="49">
        <v>142610.49</v>
      </c>
      <c r="F190" s="49"/>
      <c r="G190" s="49">
        <v>154866.17000000001</v>
      </c>
      <c r="H190" s="49"/>
      <c r="I190" s="49">
        <v>623381.61</v>
      </c>
      <c r="J190" s="49"/>
      <c r="K190" s="49">
        <v>21516.18</v>
      </c>
      <c r="L190" s="49"/>
      <c r="M190" s="49">
        <v>3300</v>
      </c>
      <c r="N190" s="49"/>
      <c r="O190" s="49">
        <v>5438.25</v>
      </c>
      <c r="P190" s="49"/>
      <c r="Q190" s="49">
        <v>622.53</v>
      </c>
      <c r="R190" s="49"/>
      <c r="S190" s="49">
        <v>12198.19</v>
      </c>
      <c r="T190" s="49"/>
      <c r="U190" s="49">
        <v>0</v>
      </c>
      <c r="V190" s="49"/>
      <c r="W190" s="49">
        <v>0</v>
      </c>
      <c r="X190" s="49"/>
      <c r="Y190" s="49">
        <v>0</v>
      </c>
      <c r="Z190" s="49"/>
      <c r="AA190" s="49">
        <v>63176.97</v>
      </c>
      <c r="AB190" s="49"/>
      <c r="AC190" s="49">
        <v>83612.960000000006</v>
      </c>
      <c r="AD190" s="49"/>
      <c r="AE190" s="49">
        <v>0</v>
      </c>
      <c r="AF190" s="49"/>
      <c r="AG190" s="49">
        <v>0</v>
      </c>
      <c r="AH190" s="49"/>
      <c r="AI190" s="49">
        <f t="shared" si="9"/>
        <v>1110723.3500000001</v>
      </c>
      <c r="AJ190" s="8"/>
      <c r="AK190" s="6" t="str">
        <f>'Gen Rev'!A190</f>
        <v>Farmersville</v>
      </c>
      <c r="AL190" s="6" t="str">
        <f t="shared" si="7"/>
        <v>Farmersville</v>
      </c>
      <c r="AM190" s="6" t="b">
        <f t="shared" si="8"/>
        <v>1</v>
      </c>
      <c r="AN190" s="15"/>
      <c r="AO190" s="15"/>
      <c r="AP190" s="15"/>
    </row>
    <row r="191" spans="1:42" s="14" customFormat="1" ht="12" customHeight="1" x14ac:dyDescent="0.2">
      <c r="A191" s="6" t="s">
        <v>334</v>
      </c>
      <c r="B191" s="6"/>
      <c r="C191" s="6" t="s">
        <v>332</v>
      </c>
      <c r="D191" s="6"/>
      <c r="E191" s="49">
        <v>73234</v>
      </c>
      <c r="F191" s="49"/>
      <c r="G191" s="49">
        <v>329561</v>
      </c>
      <c r="H191" s="49"/>
      <c r="I191" s="49">
        <v>289325</v>
      </c>
      <c r="J191" s="49"/>
      <c r="K191" s="49">
        <v>0</v>
      </c>
      <c r="L191" s="49"/>
      <c r="M191" s="49">
        <v>11001</v>
      </c>
      <c r="N191" s="49"/>
      <c r="O191" s="49">
        <v>4533</v>
      </c>
      <c r="P191" s="49"/>
      <c r="Q191" s="49">
        <v>4038</v>
      </c>
      <c r="R191" s="49"/>
      <c r="S191" s="49">
        <v>42458</v>
      </c>
      <c r="T191" s="49"/>
      <c r="U191" s="49">
        <v>0</v>
      </c>
      <c r="V191" s="49"/>
      <c r="W191" s="49">
        <v>4901226</v>
      </c>
      <c r="X191" s="49"/>
      <c r="Y191" s="49">
        <v>0</v>
      </c>
      <c r="Z191" s="49"/>
      <c r="AA191" s="49">
        <v>17009</v>
      </c>
      <c r="AB191" s="49"/>
      <c r="AC191" s="49">
        <v>0</v>
      </c>
      <c r="AD191" s="49"/>
      <c r="AE191" s="49">
        <v>3367</v>
      </c>
      <c r="AF191" s="49"/>
      <c r="AG191" s="49">
        <v>0</v>
      </c>
      <c r="AH191" s="49"/>
      <c r="AI191" s="49">
        <f t="shared" si="9"/>
        <v>5675752</v>
      </c>
      <c r="AJ191" s="8"/>
      <c r="AK191" s="6" t="str">
        <f>'Gen Rev'!A191</f>
        <v>Fayette</v>
      </c>
      <c r="AL191" s="6" t="str">
        <f t="shared" si="7"/>
        <v>Fayette</v>
      </c>
      <c r="AM191" s="6" t="b">
        <f t="shared" si="8"/>
        <v>1</v>
      </c>
      <c r="AN191" s="12"/>
      <c r="AO191" s="12"/>
      <c r="AP191" s="12"/>
    </row>
    <row r="192" spans="1:42" s="14" customFormat="1" ht="12" customHeight="1" x14ac:dyDescent="0.2">
      <c r="A192" s="6" t="s">
        <v>21</v>
      </c>
      <c r="B192" s="6"/>
      <c r="C192" s="6" t="s">
        <v>265</v>
      </c>
      <c r="D192" s="6"/>
      <c r="E192" s="49">
        <v>60250.79</v>
      </c>
      <c r="F192" s="49"/>
      <c r="G192" s="49">
        <v>0</v>
      </c>
      <c r="H192" s="49"/>
      <c r="I192" s="49">
        <v>37985.24</v>
      </c>
      <c r="J192" s="49"/>
      <c r="K192" s="49">
        <v>0</v>
      </c>
      <c r="L192" s="49"/>
      <c r="M192" s="49">
        <v>6050</v>
      </c>
      <c r="N192" s="49"/>
      <c r="O192" s="49">
        <v>63678.74</v>
      </c>
      <c r="P192" s="49"/>
      <c r="Q192" s="49">
        <v>888.05</v>
      </c>
      <c r="R192" s="49"/>
      <c r="S192" s="49">
        <v>1233.1300000000001</v>
      </c>
      <c r="T192" s="49"/>
      <c r="U192" s="49">
        <v>0</v>
      </c>
      <c r="V192" s="49"/>
      <c r="W192" s="49">
        <v>0</v>
      </c>
      <c r="X192" s="49"/>
      <c r="Y192" s="49">
        <v>0</v>
      </c>
      <c r="Z192" s="49"/>
      <c r="AA192" s="49">
        <v>6114</v>
      </c>
      <c r="AB192" s="49"/>
      <c r="AC192" s="49">
        <v>0</v>
      </c>
      <c r="AD192" s="49"/>
      <c r="AE192" s="49">
        <v>7680</v>
      </c>
      <c r="AF192" s="49"/>
      <c r="AG192" s="49">
        <v>0</v>
      </c>
      <c r="AH192" s="49"/>
      <c r="AI192" s="49">
        <f t="shared" si="9"/>
        <v>183879.94999999998</v>
      </c>
      <c r="AJ192" s="8"/>
      <c r="AK192" s="6" t="str">
        <f>'Gen Rev'!A192</f>
        <v>Fayetteville</v>
      </c>
      <c r="AL192" s="6" t="str">
        <f t="shared" si="7"/>
        <v>Fayetteville</v>
      </c>
      <c r="AM192" s="6" t="b">
        <f t="shared" si="8"/>
        <v>1</v>
      </c>
      <c r="AN192" s="12"/>
      <c r="AO192" s="12"/>
      <c r="AP192" s="12"/>
    </row>
    <row r="193" spans="1:42" s="14" customFormat="1" ht="12" customHeight="1" x14ac:dyDescent="0.2">
      <c r="A193" s="6" t="s">
        <v>798</v>
      </c>
      <c r="B193" s="6"/>
      <c r="C193" s="6" t="s">
        <v>437</v>
      </c>
      <c r="D193" s="6"/>
      <c r="E193" s="49">
        <v>26066.83</v>
      </c>
      <c r="F193" s="49"/>
      <c r="G193" s="49">
        <v>0</v>
      </c>
      <c r="H193" s="49"/>
      <c r="I193" s="49">
        <v>37579.599999999999</v>
      </c>
      <c r="J193" s="49"/>
      <c r="K193" s="49">
        <v>10053.99</v>
      </c>
      <c r="L193" s="49"/>
      <c r="M193" s="49">
        <v>0</v>
      </c>
      <c r="N193" s="49"/>
      <c r="O193" s="49">
        <v>50</v>
      </c>
      <c r="P193" s="49"/>
      <c r="Q193" s="49">
        <v>76.260000000000005</v>
      </c>
      <c r="R193" s="49"/>
      <c r="S193" s="49">
        <v>6840.5</v>
      </c>
      <c r="T193" s="49"/>
      <c r="U193" s="49">
        <v>0</v>
      </c>
      <c r="V193" s="49"/>
      <c r="W193" s="49">
        <v>0</v>
      </c>
      <c r="X193" s="49"/>
      <c r="Y193" s="49">
        <v>0</v>
      </c>
      <c r="Z193" s="49"/>
      <c r="AA193" s="49">
        <v>0</v>
      </c>
      <c r="AB193" s="49"/>
      <c r="AC193" s="49">
        <v>0</v>
      </c>
      <c r="AD193" s="49"/>
      <c r="AE193" s="49">
        <v>0</v>
      </c>
      <c r="AF193" s="49"/>
      <c r="AG193" s="49">
        <v>0</v>
      </c>
      <c r="AH193" s="49"/>
      <c r="AI193" s="49">
        <f t="shared" si="9"/>
        <v>80667.179999999993</v>
      </c>
      <c r="AJ193" s="8"/>
      <c r="AK193" s="6" t="str">
        <f>'Gen Rev'!A193</f>
        <v>Fletcher</v>
      </c>
      <c r="AL193" s="6" t="str">
        <f t="shared" si="7"/>
        <v>Fletcher</v>
      </c>
      <c r="AM193" s="6" t="b">
        <f t="shared" si="8"/>
        <v>1</v>
      </c>
      <c r="AN193" s="12"/>
      <c r="AO193" s="12"/>
      <c r="AP193" s="12"/>
    </row>
    <row r="194" spans="1:42" ht="12" customHeight="1" x14ac:dyDescent="0.2">
      <c r="A194" s="6" t="s">
        <v>100</v>
      </c>
      <c r="C194" s="6" t="s">
        <v>377</v>
      </c>
      <c r="E194" s="49">
        <v>31253.79</v>
      </c>
      <c r="F194" s="49"/>
      <c r="G194" s="49">
        <v>0</v>
      </c>
      <c r="H194" s="49"/>
      <c r="I194" s="49">
        <v>16977.22</v>
      </c>
      <c r="J194" s="49"/>
      <c r="K194" s="49">
        <v>0</v>
      </c>
      <c r="L194" s="49"/>
      <c r="M194" s="49">
        <v>0</v>
      </c>
      <c r="N194" s="49"/>
      <c r="O194" s="49">
        <v>0</v>
      </c>
      <c r="P194" s="49"/>
      <c r="Q194" s="49">
        <v>228.29</v>
      </c>
      <c r="R194" s="49"/>
      <c r="S194" s="49">
        <v>3140.77</v>
      </c>
      <c r="T194" s="49"/>
      <c r="U194" s="49">
        <v>0</v>
      </c>
      <c r="V194" s="49"/>
      <c r="W194" s="49">
        <v>0</v>
      </c>
      <c r="X194" s="49"/>
      <c r="Y194" s="49">
        <v>0</v>
      </c>
      <c r="Z194" s="49"/>
      <c r="AA194" s="49">
        <v>3029.57</v>
      </c>
      <c r="AB194" s="49"/>
      <c r="AC194" s="49">
        <v>0</v>
      </c>
      <c r="AD194" s="49"/>
      <c r="AE194" s="49">
        <v>6460.37</v>
      </c>
      <c r="AF194" s="49"/>
      <c r="AG194" s="49">
        <v>0</v>
      </c>
      <c r="AH194" s="49"/>
      <c r="AI194" s="49">
        <f t="shared" si="9"/>
        <v>61090.01</v>
      </c>
      <c r="AJ194" s="8"/>
      <c r="AK194" s="6" t="str">
        <f>'Gen Rev'!A194</f>
        <v>Florida</v>
      </c>
      <c r="AL194" s="6" t="str">
        <f t="shared" si="7"/>
        <v>Florida</v>
      </c>
      <c r="AM194" s="6" t="b">
        <f t="shared" si="8"/>
        <v>1</v>
      </c>
    </row>
    <row r="195" spans="1:42" ht="12" customHeight="1" x14ac:dyDescent="0.2">
      <c r="A195" s="6" t="s">
        <v>799</v>
      </c>
      <c r="C195" s="6" t="s">
        <v>261</v>
      </c>
      <c r="E195" s="49">
        <v>98178.5</v>
      </c>
      <c r="F195" s="49"/>
      <c r="G195" s="49">
        <v>0</v>
      </c>
      <c r="H195" s="49"/>
      <c r="I195" s="49">
        <v>85121.74</v>
      </c>
      <c r="J195" s="49"/>
      <c r="K195" s="49">
        <v>0</v>
      </c>
      <c r="L195" s="49"/>
      <c r="M195" s="49">
        <v>0</v>
      </c>
      <c r="N195" s="49"/>
      <c r="O195" s="49">
        <v>0</v>
      </c>
      <c r="P195" s="49"/>
      <c r="Q195" s="49">
        <v>5526.23</v>
      </c>
      <c r="R195" s="49"/>
      <c r="S195" s="49">
        <v>4953.88</v>
      </c>
      <c r="T195" s="49"/>
      <c r="U195" s="49">
        <v>0</v>
      </c>
      <c r="V195" s="49"/>
      <c r="W195" s="49">
        <v>0</v>
      </c>
      <c r="X195" s="49"/>
      <c r="Y195" s="49">
        <v>0</v>
      </c>
      <c r="Z195" s="49"/>
      <c r="AA195" s="49">
        <v>0</v>
      </c>
      <c r="AB195" s="49"/>
      <c r="AC195" s="49">
        <v>0</v>
      </c>
      <c r="AD195" s="49"/>
      <c r="AE195" s="49">
        <v>0</v>
      </c>
      <c r="AF195" s="49"/>
      <c r="AG195" s="49">
        <v>0</v>
      </c>
      <c r="AH195" s="49"/>
      <c r="AI195" s="49">
        <f t="shared" si="9"/>
        <v>193780.35</v>
      </c>
      <c r="AJ195" s="8"/>
      <c r="AK195" s="6" t="str">
        <f>'Gen Rev'!A195</f>
        <v>Flushing</v>
      </c>
      <c r="AL195" s="6" t="str">
        <f t="shared" si="7"/>
        <v>Flushing</v>
      </c>
      <c r="AM195" s="6" t="b">
        <f t="shared" si="8"/>
        <v>1</v>
      </c>
    </row>
    <row r="196" spans="1:42" s="14" customFormat="1" ht="12" customHeight="1" x14ac:dyDescent="0.2">
      <c r="A196" s="6" t="s">
        <v>368</v>
      </c>
      <c r="B196" s="6"/>
      <c r="C196" s="6" t="s">
        <v>366</v>
      </c>
      <c r="D196" s="6"/>
      <c r="E196" s="49">
        <v>26129</v>
      </c>
      <c r="F196" s="49"/>
      <c r="G196" s="49">
        <v>274562</v>
      </c>
      <c r="H196" s="49"/>
      <c r="I196" s="49">
        <v>128246</v>
      </c>
      <c r="J196" s="49"/>
      <c r="K196" s="49">
        <v>0</v>
      </c>
      <c r="L196" s="49"/>
      <c r="M196" s="49">
        <v>22198</v>
      </c>
      <c r="N196" s="49"/>
      <c r="O196" s="49">
        <v>5325</v>
      </c>
      <c r="P196" s="49"/>
      <c r="Q196" s="49">
        <v>1485</v>
      </c>
      <c r="R196" s="49"/>
      <c r="S196" s="49">
        <v>38674</v>
      </c>
      <c r="T196" s="49"/>
      <c r="U196" s="49">
        <v>0</v>
      </c>
      <c r="V196" s="49"/>
      <c r="W196" s="49">
        <v>0</v>
      </c>
      <c r="X196" s="49"/>
      <c r="Y196" s="49">
        <v>0</v>
      </c>
      <c r="Z196" s="49"/>
      <c r="AA196" s="49">
        <v>102122</v>
      </c>
      <c r="AB196" s="49"/>
      <c r="AC196" s="49">
        <v>0</v>
      </c>
      <c r="AD196" s="49"/>
      <c r="AE196" s="49">
        <v>25122</v>
      </c>
      <c r="AF196" s="49"/>
      <c r="AG196" s="49">
        <v>0</v>
      </c>
      <c r="AH196" s="49"/>
      <c r="AI196" s="49">
        <f t="shared" si="9"/>
        <v>623863</v>
      </c>
      <c r="AJ196" s="8"/>
      <c r="AK196" s="6" t="str">
        <f>'Gen Rev'!A196</f>
        <v>Forest</v>
      </c>
      <c r="AL196" s="6" t="str">
        <f t="shared" si="7"/>
        <v>Forest</v>
      </c>
      <c r="AM196" s="6" t="b">
        <f t="shared" si="8"/>
        <v>1</v>
      </c>
    </row>
    <row r="197" spans="1:42" s="14" customFormat="1" ht="12" customHeight="1" x14ac:dyDescent="0.2">
      <c r="A197" s="6" t="s">
        <v>189</v>
      </c>
      <c r="B197" s="6"/>
      <c r="C197" s="6" t="s">
        <v>476</v>
      </c>
      <c r="D197" s="6"/>
      <c r="E197" s="49">
        <v>14948.46</v>
      </c>
      <c r="F197" s="49"/>
      <c r="G197" s="49">
        <v>87744.91</v>
      </c>
      <c r="H197" s="49"/>
      <c r="I197" s="49">
        <v>47427.1</v>
      </c>
      <c r="J197" s="49"/>
      <c r="K197" s="49">
        <v>0</v>
      </c>
      <c r="L197" s="49"/>
      <c r="M197" s="49">
        <v>75</v>
      </c>
      <c r="N197" s="49"/>
      <c r="O197" s="49">
        <v>1700</v>
      </c>
      <c r="P197" s="49"/>
      <c r="Q197" s="49">
        <v>947.69</v>
      </c>
      <c r="R197" s="49"/>
      <c r="S197" s="49">
        <v>40046.5</v>
      </c>
      <c r="T197" s="49"/>
      <c r="U197" s="49">
        <v>0</v>
      </c>
      <c r="V197" s="49"/>
      <c r="W197" s="49">
        <v>0</v>
      </c>
      <c r="X197" s="49"/>
      <c r="Y197" s="49">
        <v>0</v>
      </c>
      <c r="Z197" s="49"/>
      <c r="AA197" s="49">
        <v>0</v>
      </c>
      <c r="AB197" s="49"/>
      <c r="AC197" s="49">
        <v>0</v>
      </c>
      <c r="AD197" s="49"/>
      <c r="AE197" s="49">
        <v>0</v>
      </c>
      <c r="AF197" s="49"/>
      <c r="AG197" s="49">
        <v>0</v>
      </c>
      <c r="AH197" s="49"/>
      <c r="AI197" s="49">
        <f t="shared" si="9"/>
        <v>192889.66</v>
      </c>
      <c r="AJ197" s="8"/>
      <c r="AK197" s="6" t="str">
        <f>'Gen Rev'!A197</f>
        <v>Fort Jennings</v>
      </c>
      <c r="AL197" s="6" t="str">
        <f t="shared" si="7"/>
        <v>Fort Jennings</v>
      </c>
      <c r="AM197" s="6" t="b">
        <f t="shared" si="8"/>
        <v>1</v>
      </c>
      <c r="AN197" s="6"/>
      <c r="AO197" s="6"/>
      <c r="AP197" s="6"/>
    </row>
    <row r="198" spans="1:42" s="14" customFormat="1" ht="12" customHeight="1" x14ac:dyDescent="0.2">
      <c r="A198" s="6" t="s">
        <v>207</v>
      </c>
      <c r="B198" s="6"/>
      <c r="C198" s="6" t="s">
        <v>498</v>
      </c>
      <c r="D198" s="6"/>
      <c r="E198" s="49">
        <v>120906.9</v>
      </c>
      <c r="F198" s="49"/>
      <c r="G198" s="49">
        <v>1242278.29</v>
      </c>
      <c r="H198" s="49"/>
      <c r="I198" s="49">
        <v>176435.99</v>
      </c>
      <c r="J198" s="49"/>
      <c r="K198" s="49">
        <v>17337.009999999998</v>
      </c>
      <c r="L198" s="49"/>
      <c r="M198" s="49">
        <v>497.47</v>
      </c>
      <c r="N198" s="49"/>
      <c r="O198" s="49">
        <v>1755</v>
      </c>
      <c r="P198" s="49"/>
      <c r="Q198" s="49">
        <v>0</v>
      </c>
      <c r="R198" s="49"/>
      <c r="S198" s="49">
        <v>20449.41</v>
      </c>
      <c r="T198" s="49"/>
      <c r="U198" s="49">
        <v>0</v>
      </c>
      <c r="V198" s="49"/>
      <c r="W198" s="49">
        <v>0</v>
      </c>
      <c r="X198" s="49"/>
      <c r="Y198" s="49">
        <v>77500</v>
      </c>
      <c r="Z198" s="49"/>
      <c r="AA198" s="49">
        <v>0</v>
      </c>
      <c r="AB198" s="49"/>
      <c r="AC198" s="49">
        <v>0</v>
      </c>
      <c r="AD198" s="49"/>
      <c r="AE198" s="49">
        <v>0</v>
      </c>
      <c r="AF198" s="49"/>
      <c r="AG198" s="49">
        <v>0</v>
      </c>
      <c r="AH198" s="49"/>
      <c r="AI198" s="49">
        <f t="shared" si="9"/>
        <v>1657160.0699999998</v>
      </c>
      <c r="AJ198" s="8"/>
      <c r="AK198" s="6" t="str">
        <f>'Gen Rev'!A198</f>
        <v>Fort Loramie</v>
      </c>
      <c r="AL198" s="6" t="str">
        <f t="shared" si="7"/>
        <v>Fort Loramie</v>
      </c>
      <c r="AM198" s="6" t="b">
        <f t="shared" si="8"/>
        <v>1</v>
      </c>
      <c r="AN198" s="15"/>
      <c r="AO198" s="15"/>
      <c r="AP198" s="15"/>
    </row>
    <row r="199" spans="1:42" ht="12" customHeight="1" x14ac:dyDescent="0.2">
      <c r="A199" s="6" t="s">
        <v>434</v>
      </c>
      <c r="C199" s="6" t="s">
        <v>433</v>
      </c>
      <c r="E199" s="49">
        <v>242889</v>
      </c>
      <c r="F199" s="49"/>
      <c r="G199" s="49">
        <v>1081767</v>
      </c>
      <c r="H199" s="49"/>
      <c r="I199" s="49">
        <v>172991</v>
      </c>
      <c r="J199" s="49"/>
      <c r="K199" s="49">
        <v>24519</v>
      </c>
      <c r="L199" s="49"/>
      <c r="M199" s="49">
        <v>45214</v>
      </c>
      <c r="N199" s="49"/>
      <c r="O199" s="49">
        <v>2602</v>
      </c>
      <c r="P199" s="49"/>
      <c r="Q199" s="49">
        <v>7200</v>
      </c>
      <c r="R199" s="49"/>
      <c r="S199" s="49">
        <v>73009</v>
      </c>
      <c r="T199" s="49"/>
      <c r="U199" s="49">
        <v>0</v>
      </c>
      <c r="V199" s="49"/>
      <c r="W199" s="49">
        <v>0</v>
      </c>
      <c r="X199" s="49"/>
      <c r="Y199" s="49">
        <v>25750</v>
      </c>
      <c r="Z199" s="49"/>
      <c r="AA199" s="49">
        <v>110896</v>
      </c>
      <c r="AB199" s="49"/>
      <c r="AC199" s="49">
        <v>0</v>
      </c>
      <c r="AD199" s="49"/>
      <c r="AE199" s="49">
        <v>0</v>
      </c>
      <c r="AF199" s="49"/>
      <c r="AG199" s="49">
        <v>0</v>
      </c>
      <c r="AH199" s="49"/>
      <c r="AI199" s="49">
        <f t="shared" si="9"/>
        <v>1786837</v>
      </c>
      <c r="AJ199" s="8"/>
      <c r="AK199" s="6" t="str">
        <f>'Gen Rev'!A199</f>
        <v>Fort Recovery</v>
      </c>
      <c r="AL199" s="6" t="str">
        <f t="shared" si="7"/>
        <v>Fort Recovery</v>
      </c>
      <c r="AM199" s="6" t="b">
        <f t="shared" si="8"/>
        <v>1</v>
      </c>
    </row>
    <row r="200" spans="1:42" s="14" customFormat="1" ht="12" customHeight="1" x14ac:dyDescent="0.2">
      <c r="A200" s="6" t="s">
        <v>197</v>
      </c>
      <c r="B200" s="6"/>
      <c r="C200" s="6" t="s">
        <v>485</v>
      </c>
      <c r="D200" s="6"/>
      <c r="E200" s="49">
        <v>43257.97</v>
      </c>
      <c r="F200" s="49"/>
      <c r="G200" s="49">
        <v>0</v>
      </c>
      <c r="H200" s="49"/>
      <c r="I200" s="49">
        <v>75444.84</v>
      </c>
      <c r="J200" s="49"/>
      <c r="K200" s="49">
        <v>0</v>
      </c>
      <c r="L200" s="49"/>
      <c r="M200" s="49">
        <v>0</v>
      </c>
      <c r="N200" s="49"/>
      <c r="O200" s="49">
        <v>23284.89</v>
      </c>
      <c r="P200" s="49"/>
      <c r="Q200" s="49">
        <v>1169.01</v>
      </c>
      <c r="R200" s="49"/>
      <c r="S200" s="49">
        <v>50</v>
      </c>
      <c r="T200" s="49"/>
      <c r="U200" s="49">
        <v>0</v>
      </c>
      <c r="V200" s="49"/>
      <c r="W200" s="49">
        <v>0</v>
      </c>
      <c r="X200" s="49"/>
      <c r="Y200" s="49">
        <v>0</v>
      </c>
      <c r="Z200" s="49"/>
      <c r="AA200" s="49">
        <v>0</v>
      </c>
      <c r="AB200" s="49"/>
      <c r="AC200" s="49">
        <v>0</v>
      </c>
      <c r="AD200" s="49"/>
      <c r="AE200" s="49">
        <v>5604.62</v>
      </c>
      <c r="AF200" s="49"/>
      <c r="AG200" s="49">
        <v>0</v>
      </c>
      <c r="AH200" s="49"/>
      <c r="AI200" s="49">
        <f t="shared" si="9"/>
        <v>148811.33000000002</v>
      </c>
      <c r="AJ200" s="8"/>
      <c r="AK200" s="6" t="str">
        <f>'Gen Rev'!A200</f>
        <v>Frankfort</v>
      </c>
      <c r="AL200" s="6" t="str">
        <f t="shared" si="7"/>
        <v>Frankfort</v>
      </c>
      <c r="AM200" s="6" t="b">
        <f t="shared" si="8"/>
        <v>1</v>
      </c>
      <c r="AN200" s="6"/>
      <c r="AO200" s="6"/>
      <c r="AP200" s="6"/>
    </row>
    <row r="201" spans="1:42" ht="12" customHeight="1" x14ac:dyDescent="0.2">
      <c r="A201" s="6" t="s">
        <v>161</v>
      </c>
      <c r="C201" s="6" t="s">
        <v>450</v>
      </c>
      <c r="E201" s="49">
        <v>95247.76</v>
      </c>
      <c r="F201" s="49"/>
      <c r="G201" s="49">
        <v>151904.18</v>
      </c>
      <c r="H201" s="49"/>
      <c r="I201" s="49">
        <v>276906.15000000002</v>
      </c>
      <c r="J201" s="49"/>
      <c r="K201" s="49">
        <v>40480.639999999999</v>
      </c>
      <c r="L201" s="49"/>
      <c r="M201" s="49">
        <v>21273.67</v>
      </c>
      <c r="N201" s="49"/>
      <c r="O201" s="49">
        <v>10250.040000000001</v>
      </c>
      <c r="P201" s="49"/>
      <c r="Q201" s="49">
        <v>776.41</v>
      </c>
      <c r="R201" s="49"/>
      <c r="S201" s="49">
        <v>70533.88</v>
      </c>
      <c r="T201" s="49"/>
      <c r="U201" s="49">
        <v>0</v>
      </c>
      <c r="V201" s="49"/>
      <c r="W201" s="49">
        <v>0</v>
      </c>
      <c r="X201" s="49"/>
      <c r="Y201" s="49">
        <v>1136</v>
      </c>
      <c r="Z201" s="49"/>
      <c r="AA201" s="49">
        <v>35952.949999999997</v>
      </c>
      <c r="AB201" s="49"/>
      <c r="AC201" s="49">
        <v>0</v>
      </c>
      <c r="AD201" s="49"/>
      <c r="AE201" s="49">
        <v>60.1</v>
      </c>
      <c r="AF201" s="49"/>
      <c r="AG201" s="49">
        <v>0</v>
      </c>
      <c r="AH201" s="49"/>
      <c r="AI201" s="49">
        <f t="shared" si="9"/>
        <v>704521.78</v>
      </c>
      <c r="AJ201" s="8"/>
      <c r="AK201" s="6" t="str">
        <f>'Gen Rev'!A201</f>
        <v>Frazeysburg</v>
      </c>
      <c r="AL201" s="6" t="str">
        <f t="shared" si="7"/>
        <v>Frazeysburg</v>
      </c>
      <c r="AM201" s="6" t="b">
        <f t="shared" si="8"/>
        <v>1</v>
      </c>
      <c r="AN201" s="15"/>
      <c r="AO201" s="15"/>
      <c r="AP201" s="15"/>
    </row>
    <row r="202" spans="1:42" s="14" customFormat="1" ht="12" customHeight="1" x14ac:dyDescent="0.2">
      <c r="A202" s="6" t="s">
        <v>551</v>
      </c>
      <c r="B202" s="6"/>
      <c r="C202" s="6" t="s">
        <v>547</v>
      </c>
      <c r="D202" s="6"/>
      <c r="E202" s="49">
        <v>36980</v>
      </c>
      <c r="F202" s="49"/>
      <c r="G202" s="49">
        <v>65213</v>
      </c>
      <c r="H202" s="49"/>
      <c r="I202" s="49">
        <v>37174</v>
      </c>
      <c r="J202" s="49"/>
      <c r="K202" s="49">
        <v>0</v>
      </c>
      <c r="L202" s="49"/>
      <c r="M202" s="49">
        <v>0</v>
      </c>
      <c r="N202" s="49"/>
      <c r="O202" s="49">
        <v>0</v>
      </c>
      <c r="P202" s="49"/>
      <c r="Q202" s="49">
        <v>531</v>
      </c>
      <c r="R202" s="49"/>
      <c r="S202" s="49">
        <v>11389</v>
      </c>
      <c r="T202" s="49"/>
      <c r="U202" s="49">
        <v>0</v>
      </c>
      <c r="V202" s="49"/>
      <c r="W202" s="49">
        <v>0</v>
      </c>
      <c r="X202" s="49"/>
      <c r="Y202" s="49">
        <v>0</v>
      </c>
      <c r="Z202" s="49"/>
      <c r="AA202" s="49">
        <v>0</v>
      </c>
      <c r="AB202" s="49"/>
      <c r="AC202" s="49">
        <v>0</v>
      </c>
      <c r="AD202" s="49"/>
      <c r="AE202" s="49">
        <v>0</v>
      </c>
      <c r="AF202" s="49"/>
      <c r="AG202" s="49">
        <v>0</v>
      </c>
      <c r="AH202" s="49"/>
      <c r="AI202" s="49">
        <f t="shared" si="9"/>
        <v>151287</v>
      </c>
      <c r="AJ202" s="8"/>
      <c r="AK202" s="6" t="str">
        <f>'Gen Rev'!A202</f>
        <v>Fredericksburg</v>
      </c>
      <c r="AL202" s="6" t="str">
        <f t="shared" si="7"/>
        <v>Fredericksburg</v>
      </c>
      <c r="AM202" s="6" t="b">
        <f t="shared" si="8"/>
        <v>1</v>
      </c>
      <c r="AN202" s="13"/>
      <c r="AO202" s="13"/>
      <c r="AP202" s="13"/>
    </row>
    <row r="203" spans="1:42" s="18" customFormat="1" ht="12" customHeight="1" x14ac:dyDescent="0.2">
      <c r="A203" s="6" t="s">
        <v>397</v>
      </c>
      <c r="B203" s="6"/>
      <c r="C203" s="6" t="s">
        <v>396</v>
      </c>
      <c r="D203" s="6"/>
      <c r="E203" s="49">
        <v>153985.38</v>
      </c>
      <c r="F203" s="49"/>
      <c r="G203" s="49">
        <v>462933.23</v>
      </c>
      <c r="H203" s="49"/>
      <c r="I203" s="49">
        <v>213788.14</v>
      </c>
      <c r="J203" s="49"/>
      <c r="K203" s="49">
        <v>0</v>
      </c>
      <c r="L203" s="49"/>
      <c r="M203" s="49">
        <v>499</v>
      </c>
      <c r="N203" s="49"/>
      <c r="O203" s="49">
        <v>34709.51</v>
      </c>
      <c r="P203" s="49"/>
      <c r="Q203" s="49">
        <v>251.51</v>
      </c>
      <c r="R203" s="49"/>
      <c r="S203" s="49">
        <v>114378.07</v>
      </c>
      <c r="T203" s="49"/>
      <c r="U203" s="49">
        <v>0</v>
      </c>
      <c r="V203" s="49"/>
      <c r="W203" s="49">
        <v>0</v>
      </c>
      <c r="X203" s="49"/>
      <c r="Y203" s="49">
        <v>0</v>
      </c>
      <c r="Z203" s="49"/>
      <c r="AA203" s="49">
        <v>0</v>
      </c>
      <c r="AB203" s="49"/>
      <c r="AC203" s="49">
        <v>0</v>
      </c>
      <c r="AD203" s="49"/>
      <c r="AE203" s="49">
        <v>0</v>
      </c>
      <c r="AF203" s="49"/>
      <c r="AG203" s="49">
        <v>23517.96</v>
      </c>
      <c r="AH203" s="49"/>
      <c r="AI203" s="49">
        <f t="shared" si="9"/>
        <v>1004062.8</v>
      </c>
      <c r="AJ203" s="8"/>
      <c r="AK203" s="6" t="str">
        <f>'Gen Rev'!A203</f>
        <v>Fredericktown</v>
      </c>
      <c r="AL203" s="6" t="str">
        <f t="shared" si="7"/>
        <v>Fredericktown</v>
      </c>
      <c r="AM203" s="6" t="b">
        <f t="shared" si="8"/>
        <v>1</v>
      </c>
      <c r="AN203" s="6"/>
      <c r="AO203" s="6"/>
      <c r="AP203" s="6"/>
    </row>
    <row r="204" spans="1:42" ht="12" customHeight="1" x14ac:dyDescent="0.2">
      <c r="A204" s="6" t="s">
        <v>375</v>
      </c>
      <c r="C204" s="6" t="s">
        <v>373</v>
      </c>
      <c r="E204" s="49">
        <v>63210</v>
      </c>
      <c r="F204" s="49"/>
      <c r="G204" s="49">
        <v>96624</v>
      </c>
      <c r="H204" s="49"/>
      <c r="I204" s="49">
        <v>5290</v>
      </c>
      <c r="J204" s="49"/>
      <c r="K204" s="49">
        <v>0</v>
      </c>
      <c r="L204" s="49"/>
      <c r="M204" s="49">
        <v>400</v>
      </c>
      <c r="N204" s="49"/>
      <c r="O204" s="49">
        <v>5914</v>
      </c>
      <c r="P204" s="49"/>
      <c r="Q204" s="49">
        <v>144</v>
      </c>
      <c r="R204" s="49"/>
      <c r="S204" s="49">
        <v>25000</v>
      </c>
      <c r="T204" s="49"/>
      <c r="U204" s="49">
        <v>0</v>
      </c>
      <c r="V204" s="49"/>
      <c r="W204" s="49">
        <v>0</v>
      </c>
      <c r="X204" s="49"/>
      <c r="Y204" s="49">
        <v>0</v>
      </c>
      <c r="Z204" s="49"/>
      <c r="AA204" s="49">
        <v>0</v>
      </c>
      <c r="AB204" s="49"/>
      <c r="AC204" s="49">
        <v>0</v>
      </c>
      <c r="AD204" s="49"/>
      <c r="AE204" s="49">
        <v>0</v>
      </c>
      <c r="AF204" s="49"/>
      <c r="AG204" s="49">
        <v>0</v>
      </c>
      <c r="AH204" s="49"/>
      <c r="AI204" s="49">
        <f t="shared" si="9"/>
        <v>196582</v>
      </c>
      <c r="AJ204" s="8"/>
      <c r="AK204" s="6" t="str">
        <f>'Gen Rev'!A204</f>
        <v>Freeport</v>
      </c>
      <c r="AL204" s="6" t="str">
        <f t="shared" si="7"/>
        <v>Freeport</v>
      </c>
      <c r="AM204" s="6" t="b">
        <f t="shared" si="8"/>
        <v>1</v>
      </c>
      <c r="AN204" s="14"/>
      <c r="AO204" s="14"/>
      <c r="AP204" s="14"/>
    </row>
    <row r="205" spans="1:42" ht="12" customHeight="1" x14ac:dyDescent="0.2">
      <c r="A205" s="6" t="s">
        <v>332</v>
      </c>
      <c r="C205" s="6" t="s">
        <v>226</v>
      </c>
      <c r="E205" s="49">
        <v>9543.99</v>
      </c>
      <c r="F205" s="49"/>
      <c r="G205" s="49">
        <v>0</v>
      </c>
      <c r="H205" s="49"/>
      <c r="I205" s="49">
        <v>25481.05</v>
      </c>
      <c r="J205" s="49"/>
      <c r="K205" s="49">
        <v>0</v>
      </c>
      <c r="L205" s="49"/>
      <c r="M205" s="49">
        <v>555.04999999999995</v>
      </c>
      <c r="N205" s="49"/>
      <c r="O205" s="49">
        <v>1728.73</v>
      </c>
      <c r="P205" s="49"/>
      <c r="Q205" s="49">
        <v>20.39</v>
      </c>
      <c r="R205" s="49"/>
      <c r="S205" s="49">
        <v>4592.6899999999996</v>
      </c>
      <c r="T205" s="49"/>
      <c r="U205" s="49">
        <v>0</v>
      </c>
      <c r="V205" s="49"/>
      <c r="W205" s="49">
        <v>0</v>
      </c>
      <c r="X205" s="49"/>
      <c r="Y205" s="49">
        <v>0</v>
      </c>
      <c r="Z205" s="49"/>
      <c r="AA205" s="49">
        <v>0</v>
      </c>
      <c r="AB205" s="49"/>
      <c r="AC205" s="49">
        <v>0</v>
      </c>
      <c r="AD205" s="49"/>
      <c r="AE205" s="49">
        <v>0</v>
      </c>
      <c r="AF205" s="49"/>
      <c r="AG205" s="49">
        <v>0</v>
      </c>
      <c r="AH205" s="49"/>
      <c r="AI205" s="49">
        <f t="shared" si="9"/>
        <v>41921.900000000009</v>
      </c>
      <c r="AJ205" s="8"/>
      <c r="AK205" s="6" t="str">
        <f>'Gen Rev'!A205</f>
        <v>Fulton</v>
      </c>
      <c r="AL205" s="6" t="str">
        <f t="shared" si="7"/>
        <v>Fulton</v>
      </c>
      <c r="AM205" s="6" t="b">
        <f t="shared" si="8"/>
        <v>1</v>
      </c>
    </row>
    <row r="206" spans="1:42" ht="12" customHeight="1" x14ac:dyDescent="0.2">
      <c r="A206" s="6" t="s">
        <v>52</v>
      </c>
      <c r="C206" s="6" t="s">
        <v>320</v>
      </c>
      <c r="E206" s="49">
        <v>63846.44</v>
      </c>
      <c r="F206" s="49"/>
      <c r="G206" s="49">
        <v>325825.68</v>
      </c>
      <c r="H206" s="49"/>
      <c r="I206" s="49">
        <v>59364.82</v>
      </c>
      <c r="J206" s="49"/>
      <c r="K206" s="49">
        <v>0</v>
      </c>
      <c r="L206" s="49"/>
      <c r="M206" s="49">
        <v>0</v>
      </c>
      <c r="N206" s="49"/>
      <c r="O206" s="49">
        <v>12400</v>
      </c>
      <c r="P206" s="49"/>
      <c r="Q206" s="49">
        <v>2302.25</v>
      </c>
      <c r="R206" s="49"/>
      <c r="S206" s="49">
        <v>31252.27</v>
      </c>
      <c r="T206" s="49"/>
      <c r="U206" s="49">
        <v>0</v>
      </c>
      <c r="V206" s="49"/>
      <c r="W206" s="49">
        <v>0</v>
      </c>
      <c r="X206" s="49"/>
      <c r="Y206" s="49">
        <v>180821.5</v>
      </c>
      <c r="Z206" s="49"/>
      <c r="AA206" s="49">
        <v>0</v>
      </c>
      <c r="AB206" s="49"/>
      <c r="AC206" s="49">
        <v>0</v>
      </c>
      <c r="AD206" s="49"/>
      <c r="AE206" s="49">
        <v>0</v>
      </c>
      <c r="AF206" s="49"/>
      <c r="AG206" s="49">
        <v>0</v>
      </c>
      <c r="AH206" s="49"/>
      <c r="AI206" s="49">
        <f t="shared" si="9"/>
        <v>675812.96</v>
      </c>
      <c r="AJ206" s="8"/>
      <c r="AK206" s="6" t="str">
        <f>'Gen Rev'!A206</f>
        <v>Galena</v>
      </c>
      <c r="AL206" s="6" t="str">
        <f t="shared" si="7"/>
        <v>Galena</v>
      </c>
      <c r="AM206" s="6" t="b">
        <f t="shared" si="8"/>
        <v>1</v>
      </c>
    </row>
    <row r="207" spans="1:42" ht="12" customHeight="1" x14ac:dyDescent="0.2"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8"/>
    </row>
    <row r="208" spans="1:42" ht="12" customHeight="1" x14ac:dyDescent="0.2"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88" t="s">
        <v>733</v>
      </c>
      <c r="AJ208" s="8"/>
    </row>
    <row r="209" spans="1:42" ht="12" customHeight="1" x14ac:dyDescent="0.2"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8"/>
    </row>
    <row r="210" spans="1:42" ht="12" customHeight="1" x14ac:dyDescent="0.2">
      <c r="A210" s="6" t="s">
        <v>337</v>
      </c>
      <c r="C210" s="6" t="s">
        <v>338</v>
      </c>
      <c r="E210" s="52">
        <f>343697+60560+99183</f>
        <v>503440</v>
      </c>
      <c r="F210" s="52"/>
      <c r="G210" s="52">
        <v>1660582</v>
      </c>
      <c r="H210" s="52"/>
      <c r="I210" s="52">
        <v>1398849</v>
      </c>
      <c r="J210" s="52"/>
      <c r="K210" s="52">
        <v>0</v>
      </c>
      <c r="L210" s="52"/>
      <c r="M210" s="52">
        <v>751125</v>
      </c>
      <c r="N210" s="52"/>
      <c r="O210" s="52">
        <v>920748</v>
      </c>
      <c r="P210" s="52"/>
      <c r="Q210" s="52">
        <v>38411</v>
      </c>
      <c r="R210" s="52"/>
      <c r="S210" s="52">
        <f>30086+56607+52758</f>
        <v>139451</v>
      </c>
      <c r="T210" s="52"/>
      <c r="U210" s="52">
        <v>353175</v>
      </c>
      <c r="V210" s="52"/>
      <c r="W210" s="52">
        <v>0</v>
      </c>
      <c r="X210" s="52"/>
      <c r="Y210" s="52">
        <v>0</v>
      </c>
      <c r="Z210" s="52"/>
      <c r="AA210" s="52">
        <v>936099</v>
      </c>
      <c r="AB210" s="52"/>
      <c r="AC210" s="52">
        <v>361734</v>
      </c>
      <c r="AD210" s="52"/>
      <c r="AE210" s="52">
        <v>0</v>
      </c>
      <c r="AF210" s="52"/>
      <c r="AG210" s="52">
        <v>0</v>
      </c>
      <c r="AH210" s="49"/>
      <c r="AI210" s="52">
        <f t="shared" si="9"/>
        <v>7063614</v>
      </c>
      <c r="AJ210" s="8"/>
      <c r="AK210" s="6" t="str">
        <f>'Gen Rev'!A210</f>
        <v>Gallipolis</v>
      </c>
      <c r="AL210" s="6" t="str">
        <f t="shared" ref="AL210:AL273" si="10">A210</f>
        <v>Gallipolis</v>
      </c>
      <c r="AM210" s="6" t="b">
        <f t="shared" ref="AM210:AM273" si="11">AK210=AL210</f>
        <v>1</v>
      </c>
    </row>
    <row r="211" spans="1:42" ht="12" customHeight="1" x14ac:dyDescent="0.2">
      <c r="A211" s="6" t="s">
        <v>769</v>
      </c>
      <c r="C211" s="6" t="s">
        <v>689</v>
      </c>
      <c r="E211" s="49">
        <v>0</v>
      </c>
      <c r="F211" s="49"/>
      <c r="G211" s="49">
        <v>770131</v>
      </c>
      <c r="H211" s="49"/>
      <c r="I211" s="49">
        <v>104422</v>
      </c>
      <c r="J211" s="49"/>
      <c r="K211" s="49">
        <v>0</v>
      </c>
      <c r="L211" s="49"/>
      <c r="M211" s="49">
        <v>6524</v>
      </c>
      <c r="N211" s="49"/>
      <c r="O211" s="49">
        <v>33550</v>
      </c>
      <c r="P211" s="49"/>
      <c r="Q211" s="49">
        <v>10507</v>
      </c>
      <c r="R211" s="49"/>
      <c r="S211" s="49">
        <v>20675</v>
      </c>
      <c r="T211" s="49"/>
      <c r="U211" s="49">
        <v>0</v>
      </c>
      <c r="V211" s="49"/>
      <c r="W211" s="49">
        <v>0</v>
      </c>
      <c r="X211" s="49"/>
      <c r="Y211" s="49">
        <v>0</v>
      </c>
      <c r="Z211" s="49"/>
      <c r="AA211" s="49">
        <v>0</v>
      </c>
      <c r="AB211" s="49"/>
      <c r="AC211" s="49">
        <v>0</v>
      </c>
      <c r="AD211" s="49"/>
      <c r="AE211" s="49">
        <v>7201</v>
      </c>
      <c r="AF211" s="49"/>
      <c r="AG211" s="49">
        <v>0</v>
      </c>
      <c r="AH211" s="49"/>
      <c r="AI211" s="49">
        <f t="shared" si="9"/>
        <v>953010</v>
      </c>
      <c r="AJ211" s="8"/>
      <c r="AK211" s="6" t="str">
        <f>'Gen Rev'!A211</f>
        <v>Gambier</v>
      </c>
      <c r="AL211" s="6" t="str">
        <f t="shared" si="10"/>
        <v>Gambier</v>
      </c>
      <c r="AM211" s="6" t="b">
        <f t="shared" si="11"/>
        <v>1</v>
      </c>
    </row>
    <row r="212" spans="1:42" s="14" customFormat="1" ht="12" customHeight="1" x14ac:dyDescent="0.2">
      <c r="A212" s="6" t="s">
        <v>470</v>
      </c>
      <c r="B212" s="6"/>
      <c r="C212" s="6" t="s">
        <v>241</v>
      </c>
      <c r="D212" s="6"/>
      <c r="E212" s="49">
        <f>128369+21106</f>
        <v>149475</v>
      </c>
      <c r="F212" s="49"/>
      <c r="G212" s="49">
        <f>893045+226087+11304</f>
        <v>1130436</v>
      </c>
      <c r="H212" s="49"/>
      <c r="I212" s="49">
        <f>88912+109776</f>
        <v>198688</v>
      </c>
      <c r="J212" s="49"/>
      <c r="K212" s="49">
        <v>0</v>
      </c>
      <c r="L212" s="49"/>
      <c r="M212" s="49">
        <f>67875+16809</f>
        <v>84684</v>
      </c>
      <c r="N212" s="49"/>
      <c r="O212" s="49">
        <f>10048+1373</f>
        <v>11421</v>
      </c>
      <c r="P212" s="49"/>
      <c r="Q212" s="49">
        <f>6914+1289</f>
        <v>8203</v>
      </c>
      <c r="R212" s="49"/>
      <c r="S212" s="49">
        <v>86562</v>
      </c>
      <c r="T212" s="49"/>
      <c r="U212" s="49">
        <v>0</v>
      </c>
      <c r="V212" s="49"/>
      <c r="W212" s="49">
        <v>0</v>
      </c>
      <c r="X212" s="49"/>
      <c r="Y212" s="49">
        <v>1505</v>
      </c>
      <c r="Z212" s="49"/>
      <c r="AA212" s="49">
        <v>0</v>
      </c>
      <c r="AB212" s="49"/>
      <c r="AC212" s="49">
        <v>0</v>
      </c>
      <c r="AD212" s="49"/>
      <c r="AE212" s="49">
        <v>0</v>
      </c>
      <c r="AF212" s="49"/>
      <c r="AG212" s="49">
        <v>0</v>
      </c>
      <c r="AH212" s="49"/>
      <c r="AI212" s="49">
        <f t="shared" ref="AI212:AI278" si="12">SUM(E212:AG212)</f>
        <v>1670974</v>
      </c>
      <c r="AJ212" s="8"/>
      <c r="AK212" s="6" t="str">
        <f>'Gen Rev'!A212</f>
        <v>Garrettsville</v>
      </c>
      <c r="AL212" s="6" t="str">
        <f t="shared" si="10"/>
        <v>Garrettsville</v>
      </c>
      <c r="AM212" s="6" t="b">
        <f t="shared" si="11"/>
        <v>1</v>
      </c>
      <c r="AN212" s="6"/>
      <c r="AO212" s="6"/>
      <c r="AP212" s="6"/>
    </row>
    <row r="213" spans="1:42" ht="12" customHeight="1" x14ac:dyDescent="0.2">
      <c r="A213" s="18" t="s">
        <v>297</v>
      </c>
      <c r="B213" s="18"/>
      <c r="C213" s="18" t="s">
        <v>293</v>
      </c>
      <c r="D213" s="18"/>
      <c r="E213" s="49">
        <v>2270876</v>
      </c>
      <c r="F213" s="49"/>
      <c r="G213" s="49">
        <v>1551855</v>
      </c>
      <c r="H213" s="49"/>
      <c r="I213" s="49">
        <v>921076</v>
      </c>
      <c r="J213" s="49"/>
      <c r="K213" s="49">
        <v>24155</v>
      </c>
      <c r="L213" s="49"/>
      <c r="M213" s="49">
        <v>456749</v>
      </c>
      <c r="N213" s="49"/>
      <c r="O213" s="49">
        <v>95180</v>
      </c>
      <c r="P213" s="49"/>
      <c r="Q213" s="49">
        <v>5915</v>
      </c>
      <c r="R213" s="49"/>
      <c r="S213" s="49">
        <v>77737</v>
      </c>
      <c r="T213" s="49"/>
      <c r="U213" s="49">
        <v>0</v>
      </c>
      <c r="V213" s="49"/>
      <c r="W213" s="49">
        <v>0</v>
      </c>
      <c r="X213" s="49"/>
      <c r="Y213" s="49">
        <v>300</v>
      </c>
      <c r="Z213" s="49"/>
      <c r="AA213" s="49">
        <v>495768</v>
      </c>
      <c r="AB213" s="49"/>
      <c r="AC213" s="49">
        <v>0</v>
      </c>
      <c r="AD213" s="49"/>
      <c r="AE213" s="49">
        <v>0</v>
      </c>
      <c r="AF213" s="49"/>
      <c r="AG213" s="49">
        <v>0</v>
      </c>
      <c r="AH213" s="49"/>
      <c r="AI213" s="49">
        <f t="shared" si="12"/>
        <v>5899611</v>
      </c>
      <c r="AJ213" s="8"/>
      <c r="AK213" s="6" t="str">
        <f>'Gen Rev'!A213</f>
        <v>Gates Mills</v>
      </c>
      <c r="AL213" s="6" t="str">
        <f t="shared" si="10"/>
        <v>Gates Mills</v>
      </c>
      <c r="AM213" s="6" t="b">
        <f t="shared" si="11"/>
        <v>1</v>
      </c>
    </row>
    <row r="214" spans="1:42" ht="12" customHeight="1" x14ac:dyDescent="0.2">
      <c r="A214" s="6" t="s">
        <v>251</v>
      </c>
      <c r="C214" s="6" t="s">
        <v>624</v>
      </c>
      <c r="E214" s="49">
        <v>417791.6</v>
      </c>
      <c r="F214" s="49"/>
      <c r="G214" s="49">
        <v>193070.43</v>
      </c>
      <c r="H214" s="49"/>
      <c r="I214" s="49">
        <v>162885.06</v>
      </c>
      <c r="J214" s="49"/>
      <c r="K214" s="49">
        <v>50853.11</v>
      </c>
      <c r="L214" s="49"/>
      <c r="M214" s="49">
        <v>47451.01</v>
      </c>
      <c r="N214" s="49"/>
      <c r="O214" s="49">
        <v>64709</v>
      </c>
      <c r="P214" s="49"/>
      <c r="Q214" s="49">
        <v>3444.27</v>
      </c>
      <c r="R214" s="49"/>
      <c r="S214" s="49">
        <v>93326.1</v>
      </c>
      <c r="T214" s="49"/>
      <c r="U214" s="49">
        <v>0</v>
      </c>
      <c r="V214" s="49"/>
      <c r="W214" s="49">
        <v>0</v>
      </c>
      <c r="X214" s="49"/>
      <c r="Y214" s="49">
        <v>0</v>
      </c>
      <c r="Z214" s="49"/>
      <c r="AA214" s="49">
        <v>3442</v>
      </c>
      <c r="AB214" s="49"/>
      <c r="AC214" s="49">
        <v>24000</v>
      </c>
      <c r="AD214" s="49"/>
      <c r="AE214" s="49">
        <v>83000</v>
      </c>
      <c r="AF214" s="49"/>
      <c r="AG214" s="49">
        <v>0</v>
      </c>
      <c r="AH214" s="49"/>
      <c r="AI214" s="49">
        <f t="shared" si="12"/>
        <v>1143972.58</v>
      </c>
      <c r="AJ214" s="8"/>
      <c r="AK214" s="6" t="str">
        <f>'Gen Rev'!A214</f>
        <v>Geneva On The Lake</v>
      </c>
      <c r="AL214" s="6" t="str">
        <f t="shared" si="10"/>
        <v>Geneva On The Lake</v>
      </c>
      <c r="AM214" s="6" t="b">
        <f t="shared" si="11"/>
        <v>1</v>
      </c>
    </row>
    <row r="215" spans="1:42" ht="12" customHeight="1" x14ac:dyDescent="0.2">
      <c r="A215" s="6" t="s">
        <v>457</v>
      </c>
      <c r="C215" s="6" t="s">
        <v>192</v>
      </c>
      <c r="E215" s="49">
        <v>125775</v>
      </c>
      <c r="F215" s="49"/>
      <c r="G215" s="49">
        <v>753776</v>
      </c>
      <c r="H215" s="49"/>
      <c r="I215" s="49">
        <v>170039</v>
      </c>
      <c r="J215" s="49"/>
      <c r="K215" s="49">
        <v>0</v>
      </c>
      <c r="L215" s="49"/>
      <c r="M215" s="49">
        <v>1050</v>
      </c>
      <c r="N215" s="49"/>
      <c r="O215" s="49">
        <f>13856+12399</f>
        <v>26255</v>
      </c>
      <c r="P215" s="49"/>
      <c r="Q215" s="49">
        <v>9099</v>
      </c>
      <c r="R215" s="49"/>
      <c r="S215" s="49">
        <v>4863</v>
      </c>
      <c r="T215" s="49"/>
      <c r="U215" s="49">
        <v>0</v>
      </c>
      <c r="V215" s="49"/>
      <c r="W215" s="49">
        <v>256114</v>
      </c>
      <c r="X215" s="49"/>
      <c r="Y215" s="49">
        <v>0</v>
      </c>
      <c r="Z215" s="49"/>
      <c r="AA215" s="49">
        <v>1481912</v>
      </c>
      <c r="AB215" s="49"/>
      <c r="AC215" s="49">
        <v>0</v>
      </c>
      <c r="AD215" s="49"/>
      <c r="AE215" s="49">
        <v>36364</v>
      </c>
      <c r="AF215" s="49"/>
      <c r="AG215" s="49">
        <v>0</v>
      </c>
      <c r="AH215" s="49"/>
      <c r="AI215" s="49">
        <f t="shared" si="12"/>
        <v>2865247</v>
      </c>
      <c r="AJ215" s="8"/>
      <c r="AK215" s="6" t="str">
        <f>'Gen Rev'!A215</f>
        <v>Genoa</v>
      </c>
      <c r="AL215" s="6" t="str">
        <f t="shared" si="10"/>
        <v>Genoa</v>
      </c>
      <c r="AM215" s="6" t="b">
        <f t="shared" si="11"/>
        <v>1</v>
      </c>
      <c r="AN215" s="14"/>
      <c r="AO215" s="14"/>
      <c r="AP215" s="14"/>
    </row>
    <row r="216" spans="1:42" ht="12" customHeight="1" x14ac:dyDescent="0.2">
      <c r="A216" s="6" t="s">
        <v>22</v>
      </c>
      <c r="C216" s="6" t="s">
        <v>265</v>
      </c>
      <c r="E216" s="49">
        <v>370173.07</v>
      </c>
      <c r="F216" s="49"/>
      <c r="G216" s="49">
        <v>451792.63</v>
      </c>
      <c r="H216" s="49"/>
      <c r="I216" s="49">
        <v>955830.21</v>
      </c>
      <c r="J216" s="49"/>
      <c r="K216" s="49">
        <v>0</v>
      </c>
      <c r="L216" s="49"/>
      <c r="M216" s="49">
        <v>136031.95000000001</v>
      </c>
      <c r="N216" s="49"/>
      <c r="O216" s="49">
        <v>96166.67</v>
      </c>
      <c r="P216" s="49"/>
      <c r="Q216" s="49">
        <v>8346.6200000000008</v>
      </c>
      <c r="R216" s="49"/>
      <c r="S216" s="49">
        <v>92557.57</v>
      </c>
      <c r="T216" s="49"/>
      <c r="U216" s="49">
        <v>0</v>
      </c>
      <c r="V216" s="49"/>
      <c r="W216" s="49">
        <v>0</v>
      </c>
      <c r="X216" s="49"/>
      <c r="Y216" s="49">
        <v>8364.7999999999993</v>
      </c>
      <c r="Z216" s="49"/>
      <c r="AA216" s="49">
        <v>0</v>
      </c>
      <c r="AB216" s="49"/>
      <c r="AC216" s="49">
        <v>0</v>
      </c>
      <c r="AD216" s="49"/>
      <c r="AE216" s="49">
        <v>0</v>
      </c>
      <c r="AF216" s="49"/>
      <c r="AG216" s="49">
        <v>0</v>
      </c>
      <c r="AH216" s="49"/>
      <c r="AI216" s="49">
        <f t="shared" si="12"/>
        <v>2119263.5199999996</v>
      </c>
      <c r="AJ216" s="8"/>
      <c r="AK216" s="6" t="str">
        <f>'Gen Rev'!A216</f>
        <v>Georgetown</v>
      </c>
      <c r="AL216" s="6" t="str">
        <f t="shared" si="10"/>
        <v>Georgetown</v>
      </c>
      <c r="AM216" s="6" t="b">
        <f t="shared" si="11"/>
        <v>1</v>
      </c>
    </row>
    <row r="217" spans="1:42" s="14" customFormat="1" ht="12" customHeight="1" x14ac:dyDescent="0.2">
      <c r="A217" s="6" t="s">
        <v>49</v>
      </c>
      <c r="B217" s="6"/>
      <c r="C217" s="6" t="s">
        <v>306</v>
      </c>
      <c r="D217" s="6"/>
      <c r="E217" s="49">
        <v>37154.32</v>
      </c>
      <c r="F217" s="49"/>
      <c r="G217" s="49">
        <v>0</v>
      </c>
      <c r="H217" s="49"/>
      <c r="I217" s="49">
        <v>109321.27</v>
      </c>
      <c r="J217" s="49"/>
      <c r="K217" s="49">
        <v>0</v>
      </c>
      <c r="L217" s="49"/>
      <c r="M217" s="49">
        <v>3140</v>
      </c>
      <c r="N217" s="49"/>
      <c r="O217" s="49">
        <v>3831.21</v>
      </c>
      <c r="P217" s="49"/>
      <c r="Q217" s="49">
        <v>91.64</v>
      </c>
      <c r="R217" s="49"/>
      <c r="S217" s="49">
        <v>20047.75</v>
      </c>
      <c r="T217" s="49"/>
      <c r="U217" s="49">
        <v>0</v>
      </c>
      <c r="V217" s="49"/>
      <c r="W217" s="49">
        <v>0</v>
      </c>
      <c r="X217" s="49"/>
      <c r="Y217" s="49">
        <v>0</v>
      </c>
      <c r="Z217" s="49"/>
      <c r="AA217" s="49">
        <v>0</v>
      </c>
      <c r="AB217" s="49"/>
      <c r="AC217" s="49">
        <v>4200</v>
      </c>
      <c r="AD217" s="49"/>
      <c r="AE217" s="49">
        <v>0</v>
      </c>
      <c r="AF217" s="49"/>
      <c r="AG217" s="49">
        <v>0</v>
      </c>
      <c r="AH217" s="49"/>
      <c r="AI217" s="49">
        <f t="shared" si="12"/>
        <v>177786.19</v>
      </c>
      <c r="AJ217" s="8"/>
      <c r="AK217" s="6" t="str">
        <f>'Gen Rev'!A217</f>
        <v>Gettysburg</v>
      </c>
      <c r="AL217" s="6" t="str">
        <f t="shared" si="10"/>
        <v>Gettysburg</v>
      </c>
      <c r="AM217" s="6" t="b">
        <f t="shared" si="11"/>
        <v>1</v>
      </c>
      <c r="AN217" s="12"/>
      <c r="AO217" s="12"/>
      <c r="AP217" s="12"/>
    </row>
    <row r="218" spans="1:42" s="14" customFormat="1" ht="12" customHeight="1" x14ac:dyDescent="0.2">
      <c r="A218" s="6" t="s">
        <v>488</v>
      </c>
      <c r="B218" s="6"/>
      <c r="C218" s="6" t="s">
        <v>487</v>
      </c>
      <c r="D218" s="6"/>
      <c r="E218" s="49">
        <v>106244.09</v>
      </c>
      <c r="F218" s="49"/>
      <c r="G218" s="49">
        <v>615401.5</v>
      </c>
      <c r="H218" s="49"/>
      <c r="I218" s="49">
        <v>219799.12</v>
      </c>
      <c r="J218" s="49"/>
      <c r="K218" s="49">
        <v>4304.59</v>
      </c>
      <c r="L218" s="49"/>
      <c r="M218" s="49">
        <v>5590.67</v>
      </c>
      <c r="N218" s="49"/>
      <c r="O218" s="49">
        <v>48113.99</v>
      </c>
      <c r="P218" s="49"/>
      <c r="Q218" s="49">
        <v>7710.99</v>
      </c>
      <c r="R218" s="49"/>
      <c r="S218" s="49">
        <v>22183.48</v>
      </c>
      <c r="T218" s="49"/>
      <c r="U218" s="49">
        <v>0</v>
      </c>
      <c r="V218" s="49"/>
      <c r="W218" s="49">
        <v>0</v>
      </c>
      <c r="X218" s="49"/>
      <c r="Y218" s="49">
        <v>36781</v>
      </c>
      <c r="Z218" s="49"/>
      <c r="AA218" s="49">
        <v>123821.26</v>
      </c>
      <c r="AB218" s="49"/>
      <c r="AC218" s="49">
        <v>0</v>
      </c>
      <c r="AD218" s="49"/>
      <c r="AE218" s="49">
        <v>0</v>
      </c>
      <c r="AF218" s="49"/>
      <c r="AG218" s="49">
        <v>0</v>
      </c>
      <c r="AH218" s="49"/>
      <c r="AI218" s="49">
        <f t="shared" si="12"/>
        <v>1189950.69</v>
      </c>
      <c r="AJ218" s="8"/>
      <c r="AK218" s="6" t="str">
        <f>'Gen Rev'!A218</f>
        <v>Gibsonburg</v>
      </c>
      <c r="AL218" s="6" t="str">
        <f t="shared" si="10"/>
        <v>Gibsonburg</v>
      </c>
      <c r="AM218" s="6" t="b">
        <f t="shared" si="11"/>
        <v>1</v>
      </c>
      <c r="AN218" s="12"/>
      <c r="AO218" s="12"/>
      <c r="AP218" s="12"/>
    </row>
    <row r="219" spans="1:42" s="14" customFormat="1" ht="12" customHeight="1" x14ac:dyDescent="0.2">
      <c r="A219" s="6" t="s">
        <v>190</v>
      </c>
      <c r="B219" s="6"/>
      <c r="C219" s="6" t="s">
        <v>476</v>
      </c>
      <c r="D219" s="6"/>
      <c r="E219" s="49">
        <v>26306.63</v>
      </c>
      <c r="F219" s="49"/>
      <c r="G219" s="49">
        <v>0</v>
      </c>
      <c r="H219" s="49"/>
      <c r="I219" s="49">
        <v>32159.48</v>
      </c>
      <c r="J219" s="49"/>
      <c r="K219" s="49">
        <v>0</v>
      </c>
      <c r="L219" s="49"/>
      <c r="M219" s="49">
        <v>4514.07</v>
      </c>
      <c r="N219" s="49"/>
      <c r="O219" s="49">
        <v>37.5</v>
      </c>
      <c r="P219" s="49"/>
      <c r="Q219" s="49">
        <v>4.82</v>
      </c>
      <c r="R219" s="49"/>
      <c r="S219" s="49">
        <v>0</v>
      </c>
      <c r="T219" s="49"/>
      <c r="U219" s="49">
        <v>0</v>
      </c>
      <c r="V219" s="49"/>
      <c r="W219" s="49">
        <v>0</v>
      </c>
      <c r="X219" s="49"/>
      <c r="Y219" s="49">
        <v>0</v>
      </c>
      <c r="Z219" s="49"/>
      <c r="AA219" s="49">
        <v>0</v>
      </c>
      <c r="AB219" s="49"/>
      <c r="AC219" s="49">
        <v>0</v>
      </c>
      <c r="AD219" s="49"/>
      <c r="AE219" s="49">
        <v>0</v>
      </c>
      <c r="AF219" s="49"/>
      <c r="AG219" s="49">
        <v>0</v>
      </c>
      <c r="AH219" s="49"/>
      <c r="AI219" s="49">
        <f t="shared" si="12"/>
        <v>63022.5</v>
      </c>
      <c r="AJ219" s="8"/>
      <c r="AK219" s="6" t="str">
        <f>'Gen Rev'!A219</f>
        <v>Gilboa</v>
      </c>
      <c r="AL219" s="6" t="str">
        <f t="shared" si="10"/>
        <v>Gilboa</v>
      </c>
      <c r="AM219" s="6" t="b">
        <f t="shared" si="11"/>
        <v>1</v>
      </c>
      <c r="AN219" s="12"/>
      <c r="AO219" s="12"/>
      <c r="AP219" s="12"/>
    </row>
    <row r="220" spans="1:42" s="14" customFormat="1" ht="12" customHeight="1" x14ac:dyDescent="0.2">
      <c r="A220" s="6" t="s">
        <v>477</v>
      </c>
      <c r="B220" s="6"/>
      <c r="C220" s="6" t="s">
        <v>476</v>
      </c>
      <c r="D220" s="6"/>
      <c r="E220" s="49">
        <v>87861.68</v>
      </c>
      <c r="F220" s="49"/>
      <c r="G220" s="49">
        <v>245191.7</v>
      </c>
      <c r="H220" s="49"/>
      <c r="I220" s="49">
        <v>114354.72</v>
      </c>
      <c r="J220" s="49"/>
      <c r="K220" s="49">
        <v>0</v>
      </c>
      <c r="L220" s="49"/>
      <c r="M220" s="49">
        <v>22882.51</v>
      </c>
      <c r="N220" s="49"/>
      <c r="O220" s="49">
        <v>1883</v>
      </c>
      <c r="P220" s="49"/>
      <c r="Q220" s="49">
        <v>1379.33</v>
      </c>
      <c r="R220" s="49"/>
      <c r="S220" s="49">
        <v>3897</v>
      </c>
      <c r="T220" s="49"/>
      <c r="U220" s="49">
        <v>0</v>
      </c>
      <c r="V220" s="49"/>
      <c r="W220" s="49">
        <v>0</v>
      </c>
      <c r="X220" s="49"/>
      <c r="Y220" s="49">
        <v>0</v>
      </c>
      <c r="Z220" s="49"/>
      <c r="AA220" s="49">
        <v>0</v>
      </c>
      <c r="AB220" s="49"/>
      <c r="AC220" s="49">
        <v>0</v>
      </c>
      <c r="AD220" s="49"/>
      <c r="AE220" s="49">
        <v>115150</v>
      </c>
      <c r="AF220" s="49"/>
      <c r="AG220" s="49">
        <v>0</v>
      </c>
      <c r="AH220" s="49"/>
      <c r="AI220" s="49">
        <f t="shared" si="12"/>
        <v>592599.93999999994</v>
      </c>
      <c r="AJ220" s="8"/>
      <c r="AK220" s="6" t="str">
        <f>'Gen Rev'!A220</f>
        <v>Glandorf</v>
      </c>
      <c r="AL220" s="6" t="str">
        <f t="shared" si="10"/>
        <v>Glandorf</v>
      </c>
      <c r="AM220" s="6" t="b">
        <f t="shared" si="11"/>
        <v>1</v>
      </c>
      <c r="AN220" s="6"/>
      <c r="AO220" s="6"/>
      <c r="AP220" s="6"/>
    </row>
    <row r="221" spans="1:42" ht="12" customHeight="1" x14ac:dyDescent="0.2">
      <c r="A221" s="8" t="s">
        <v>354</v>
      </c>
      <c r="B221" s="8"/>
      <c r="C221" s="8" t="s">
        <v>351</v>
      </c>
      <c r="D221" s="8"/>
      <c r="E221" s="49">
        <v>1947718</v>
      </c>
      <c r="F221" s="49"/>
      <c r="G221" s="49">
        <v>0</v>
      </c>
      <c r="H221" s="49"/>
      <c r="I221" s="49">
        <v>399025</v>
      </c>
      <c r="J221" s="49"/>
      <c r="K221" s="49">
        <v>0</v>
      </c>
      <c r="L221" s="49"/>
      <c r="M221" s="49">
        <v>19797</v>
      </c>
      <c r="N221" s="49"/>
      <c r="O221" s="49">
        <v>103831</v>
      </c>
      <c r="P221" s="49"/>
      <c r="Q221" s="49">
        <v>8795</v>
      </c>
      <c r="R221" s="49"/>
      <c r="S221" s="49">
        <v>60182</v>
      </c>
      <c r="T221" s="49"/>
      <c r="U221" s="49">
        <v>0</v>
      </c>
      <c r="V221" s="49"/>
      <c r="W221" s="49">
        <v>53560</v>
      </c>
      <c r="X221" s="49"/>
      <c r="Y221" s="49">
        <v>0</v>
      </c>
      <c r="Z221" s="49"/>
      <c r="AA221" s="49">
        <v>808</v>
      </c>
      <c r="AB221" s="49"/>
      <c r="AC221" s="49">
        <v>0</v>
      </c>
      <c r="AD221" s="49"/>
      <c r="AE221" s="49">
        <v>17711</v>
      </c>
      <c r="AF221" s="49"/>
      <c r="AG221" s="49">
        <v>0</v>
      </c>
      <c r="AH221" s="49"/>
      <c r="AI221" s="49">
        <f t="shared" si="12"/>
        <v>2611427</v>
      </c>
      <c r="AJ221" s="8"/>
      <c r="AK221" s="6" t="str">
        <f>'Gen Rev'!A221</f>
        <v>Glendale</v>
      </c>
      <c r="AL221" s="6" t="str">
        <f t="shared" si="10"/>
        <v>Glendale</v>
      </c>
      <c r="AM221" s="6" t="b">
        <f t="shared" si="11"/>
        <v>1</v>
      </c>
      <c r="AN221" s="14"/>
      <c r="AO221" s="14"/>
      <c r="AP221" s="14"/>
    </row>
    <row r="222" spans="1:42" ht="12" customHeight="1" x14ac:dyDescent="0.2">
      <c r="A222" s="6" t="s">
        <v>465</v>
      </c>
      <c r="C222" s="6" t="s">
        <v>464</v>
      </c>
      <c r="E222" s="49">
        <v>12330.94</v>
      </c>
      <c r="F222" s="49"/>
      <c r="G222" s="49">
        <v>0</v>
      </c>
      <c r="H222" s="49"/>
      <c r="I222" s="49">
        <v>13345.87</v>
      </c>
      <c r="J222" s="49"/>
      <c r="K222" s="49">
        <v>563.66</v>
      </c>
      <c r="L222" s="49"/>
      <c r="M222" s="49">
        <v>0</v>
      </c>
      <c r="N222" s="49"/>
      <c r="O222" s="49">
        <v>0</v>
      </c>
      <c r="P222" s="49"/>
      <c r="Q222" s="49">
        <v>0</v>
      </c>
      <c r="R222" s="49"/>
      <c r="S222" s="49">
        <v>4552.59</v>
      </c>
      <c r="T222" s="49"/>
      <c r="U222" s="49">
        <v>0</v>
      </c>
      <c r="V222" s="49"/>
      <c r="W222" s="49">
        <v>0</v>
      </c>
      <c r="X222" s="49"/>
      <c r="Y222" s="49">
        <v>0</v>
      </c>
      <c r="Z222" s="49"/>
      <c r="AA222" s="49">
        <v>3600</v>
      </c>
      <c r="AB222" s="49"/>
      <c r="AC222" s="49">
        <v>0</v>
      </c>
      <c r="AD222" s="49"/>
      <c r="AE222" s="49">
        <v>11368.17</v>
      </c>
      <c r="AF222" s="49"/>
      <c r="AG222" s="49">
        <v>0</v>
      </c>
      <c r="AH222" s="49"/>
      <c r="AI222" s="49">
        <f t="shared" si="12"/>
        <v>45761.229999999996</v>
      </c>
      <c r="AJ222" s="8"/>
      <c r="AK222" s="6" t="str">
        <f>'Gen Rev'!A222</f>
        <v>Glenford</v>
      </c>
      <c r="AL222" s="6" t="str">
        <f t="shared" si="10"/>
        <v>Glenford</v>
      </c>
      <c r="AM222" s="6" t="b">
        <f t="shared" si="11"/>
        <v>1</v>
      </c>
      <c r="AN222" s="14"/>
      <c r="AO222" s="14"/>
      <c r="AP222" s="14"/>
    </row>
    <row r="223" spans="1:42" ht="12" customHeight="1" x14ac:dyDescent="0.2">
      <c r="A223" s="6" t="s">
        <v>734</v>
      </c>
      <c r="C223" s="6" t="s">
        <v>382</v>
      </c>
      <c r="E223" s="49">
        <v>0</v>
      </c>
      <c r="F223" s="49"/>
      <c r="G223" s="49">
        <v>2616</v>
      </c>
      <c r="H223" s="49"/>
      <c r="I223" s="49">
        <v>32246</v>
      </c>
      <c r="J223" s="49"/>
      <c r="K223" s="49">
        <v>0</v>
      </c>
      <c r="L223" s="49"/>
      <c r="M223" s="49">
        <v>8215</v>
      </c>
      <c r="N223" s="49"/>
      <c r="O223" s="49">
        <v>337</v>
      </c>
      <c r="P223" s="49"/>
      <c r="Q223" s="49">
        <v>1051</v>
      </c>
      <c r="R223" s="49"/>
      <c r="S223" s="49">
        <v>3397</v>
      </c>
      <c r="T223" s="49"/>
      <c r="U223" s="49">
        <v>0</v>
      </c>
      <c r="V223" s="49"/>
      <c r="W223" s="49">
        <v>0</v>
      </c>
      <c r="X223" s="49"/>
      <c r="Y223" s="49">
        <v>0</v>
      </c>
      <c r="Z223" s="49"/>
      <c r="AA223" s="49">
        <v>0</v>
      </c>
      <c r="AB223" s="49"/>
      <c r="AC223" s="49">
        <v>0</v>
      </c>
      <c r="AD223" s="49"/>
      <c r="AE223" s="49">
        <v>0</v>
      </c>
      <c r="AF223" s="49"/>
      <c r="AG223" s="49">
        <v>0</v>
      </c>
      <c r="AH223" s="49"/>
      <c r="AI223" s="49">
        <f t="shared" si="12"/>
        <v>47862</v>
      </c>
      <c r="AJ223" s="8"/>
      <c r="AK223" s="6" t="str">
        <f>'Gen Rev'!A223</f>
        <v>Glenmont</v>
      </c>
      <c r="AL223" s="6" t="str">
        <f t="shared" si="10"/>
        <v>Glenmont</v>
      </c>
      <c r="AM223" s="6" t="b">
        <f t="shared" si="11"/>
        <v>1</v>
      </c>
    </row>
    <row r="224" spans="1:42" s="14" customFormat="1" ht="12" customHeight="1" x14ac:dyDescent="0.2">
      <c r="A224" s="6" t="s">
        <v>47</v>
      </c>
      <c r="B224" s="6"/>
      <c r="C224" s="6" t="s">
        <v>293</v>
      </c>
      <c r="D224" s="6"/>
      <c r="E224" s="49">
        <v>164212.78</v>
      </c>
      <c r="F224" s="49"/>
      <c r="G224" s="49">
        <v>2867651.64</v>
      </c>
      <c r="H224" s="49"/>
      <c r="I224" s="49">
        <v>1681004.6</v>
      </c>
      <c r="J224" s="49"/>
      <c r="K224" s="49">
        <v>93079.17</v>
      </c>
      <c r="L224" s="49"/>
      <c r="M224" s="49">
        <v>39841.67</v>
      </c>
      <c r="N224" s="49"/>
      <c r="O224" s="49">
        <v>170700.65</v>
      </c>
      <c r="P224" s="49"/>
      <c r="Q224" s="49">
        <v>3960.88</v>
      </c>
      <c r="R224" s="49"/>
      <c r="S224" s="49">
        <v>430806.53</v>
      </c>
      <c r="T224" s="49"/>
      <c r="U224" s="49">
        <v>0</v>
      </c>
      <c r="V224" s="49"/>
      <c r="W224" s="49">
        <v>300000</v>
      </c>
      <c r="X224" s="49"/>
      <c r="Y224" s="49">
        <v>0</v>
      </c>
      <c r="Z224" s="49"/>
      <c r="AA224" s="49">
        <v>506600</v>
      </c>
      <c r="AB224" s="49"/>
      <c r="AC224" s="49">
        <v>1118115.5</v>
      </c>
      <c r="AD224" s="49"/>
      <c r="AE224" s="49">
        <v>150033.28</v>
      </c>
      <c r="AF224" s="49"/>
      <c r="AG224" s="49">
        <v>0</v>
      </c>
      <c r="AH224" s="49"/>
      <c r="AI224" s="49">
        <f t="shared" si="12"/>
        <v>7526006.7000000002</v>
      </c>
      <c r="AJ224" s="8"/>
      <c r="AK224" s="6" t="str">
        <f>'Gen Rev'!A224</f>
        <v>Glenwillow</v>
      </c>
      <c r="AL224" s="6" t="str">
        <f t="shared" si="10"/>
        <v>Glenwillow</v>
      </c>
      <c r="AM224" s="6" t="b">
        <f t="shared" si="11"/>
        <v>1</v>
      </c>
      <c r="AN224" s="6"/>
      <c r="AO224" s="6"/>
      <c r="AP224" s="6"/>
    </row>
    <row r="225" spans="1:42" s="14" customFormat="1" ht="12" customHeight="1" x14ac:dyDescent="0.2">
      <c r="A225" s="6" t="s">
        <v>143</v>
      </c>
      <c r="B225" s="6"/>
      <c r="C225" s="6" t="s">
        <v>823</v>
      </c>
      <c r="D225" s="6"/>
      <c r="E225" s="49">
        <v>92592.55</v>
      </c>
      <c r="F225" s="49"/>
      <c r="G225" s="49">
        <v>0</v>
      </c>
      <c r="H225" s="49"/>
      <c r="I225" s="49">
        <v>187811.20000000001</v>
      </c>
      <c r="J225" s="49"/>
      <c r="K225" s="49">
        <v>0</v>
      </c>
      <c r="L225" s="49"/>
      <c r="M225" s="49">
        <v>550</v>
      </c>
      <c r="N225" s="49"/>
      <c r="O225" s="49">
        <v>153.19999999999999</v>
      </c>
      <c r="P225" s="49"/>
      <c r="Q225" s="49">
        <v>276.54000000000002</v>
      </c>
      <c r="R225" s="49"/>
      <c r="S225" s="49">
        <v>217.89</v>
      </c>
      <c r="T225" s="49"/>
      <c r="U225" s="49">
        <v>0</v>
      </c>
      <c r="V225" s="49"/>
      <c r="W225" s="49">
        <v>0</v>
      </c>
      <c r="X225" s="49"/>
      <c r="Y225" s="49">
        <v>0</v>
      </c>
      <c r="Z225" s="49"/>
      <c r="AA225" s="49">
        <v>0</v>
      </c>
      <c r="AB225" s="49"/>
      <c r="AC225" s="49">
        <v>0</v>
      </c>
      <c r="AD225" s="49"/>
      <c r="AE225" s="49">
        <v>950</v>
      </c>
      <c r="AF225" s="49"/>
      <c r="AG225" s="49">
        <v>0</v>
      </c>
      <c r="AH225" s="49"/>
      <c r="AI225" s="49">
        <f t="shared" si="12"/>
        <v>282551.38</v>
      </c>
      <c r="AJ225" s="8"/>
      <c r="AK225" s="6" t="str">
        <f>'Gen Rev'!A225</f>
        <v>Gloria Glens Park</v>
      </c>
      <c r="AL225" s="6" t="str">
        <f t="shared" si="10"/>
        <v>Gloria Glens Park</v>
      </c>
      <c r="AM225" s="6" t="b">
        <f t="shared" si="11"/>
        <v>1</v>
      </c>
    </row>
    <row r="226" spans="1:42" s="14" customFormat="1" ht="12" customHeight="1" x14ac:dyDescent="0.2">
      <c r="A226" s="6" t="s">
        <v>10</v>
      </c>
      <c r="B226" s="6"/>
      <c r="C226" s="6" t="s">
        <v>253</v>
      </c>
      <c r="D226" s="6"/>
      <c r="E226" s="49">
        <v>209587.71</v>
      </c>
      <c r="F226" s="49"/>
      <c r="G226" s="49">
        <v>0</v>
      </c>
      <c r="H226" s="49"/>
      <c r="I226" s="49">
        <v>121587.82</v>
      </c>
      <c r="J226" s="49"/>
      <c r="K226" s="49">
        <v>0</v>
      </c>
      <c r="L226" s="49"/>
      <c r="M226" s="49">
        <v>46970.7</v>
      </c>
      <c r="N226" s="49"/>
      <c r="O226" s="49">
        <v>23482.04</v>
      </c>
      <c r="P226" s="49"/>
      <c r="Q226" s="49">
        <v>224.35</v>
      </c>
      <c r="R226" s="49"/>
      <c r="S226" s="49">
        <v>22588.5</v>
      </c>
      <c r="T226" s="49"/>
      <c r="U226" s="49">
        <v>0</v>
      </c>
      <c r="V226" s="49"/>
      <c r="W226" s="49">
        <v>0</v>
      </c>
      <c r="X226" s="49"/>
      <c r="Y226" s="49">
        <v>0</v>
      </c>
      <c r="Z226" s="49"/>
      <c r="AA226" s="49">
        <v>19825.05</v>
      </c>
      <c r="AB226" s="49"/>
      <c r="AC226" s="49">
        <v>20285.32</v>
      </c>
      <c r="AD226" s="49"/>
      <c r="AE226" s="49">
        <v>0</v>
      </c>
      <c r="AF226" s="49"/>
      <c r="AG226" s="49">
        <v>37975.050000000003</v>
      </c>
      <c r="AH226" s="49"/>
      <c r="AI226" s="49">
        <f t="shared" si="12"/>
        <v>502526.54</v>
      </c>
      <c r="AJ226" s="8"/>
      <c r="AK226" s="6" t="str">
        <f>'Gen Rev'!A226</f>
        <v>Glouster</v>
      </c>
      <c r="AL226" s="6" t="str">
        <f t="shared" si="10"/>
        <v>Glouster</v>
      </c>
      <c r="AM226" s="6" t="b">
        <f t="shared" si="11"/>
        <v>1</v>
      </c>
      <c r="AN226" s="6"/>
      <c r="AO226" s="6"/>
      <c r="AP226" s="6"/>
    </row>
    <row r="227" spans="1:42" s="14" customFormat="1" ht="12" customHeight="1" x14ac:dyDescent="0.2">
      <c r="A227" s="6" t="s">
        <v>524</v>
      </c>
      <c r="B227" s="6"/>
      <c r="C227" s="6" t="s">
        <v>521</v>
      </c>
      <c r="D227" s="6"/>
      <c r="E227" s="49">
        <v>80520</v>
      </c>
      <c r="F227" s="49"/>
      <c r="G227" s="49">
        <v>320213</v>
      </c>
      <c r="H227" s="49"/>
      <c r="I227" s="49">
        <f>20123+97262</f>
        <v>117385</v>
      </c>
      <c r="J227" s="49"/>
      <c r="K227" s="49">
        <v>6746</v>
      </c>
      <c r="L227" s="49"/>
      <c r="M227" s="49">
        <f>64510+33677+200343</f>
        <v>298530</v>
      </c>
      <c r="N227" s="49"/>
      <c r="O227" s="49">
        <f>1956+6000</f>
        <v>7956</v>
      </c>
      <c r="P227" s="49"/>
      <c r="Q227" s="49">
        <v>912</v>
      </c>
      <c r="R227" s="49"/>
      <c r="S227" s="49">
        <f>27470+13165</f>
        <v>40635</v>
      </c>
      <c r="T227" s="49"/>
      <c r="U227" s="49">
        <v>0</v>
      </c>
      <c r="V227" s="49"/>
      <c r="W227" s="49">
        <v>0</v>
      </c>
      <c r="X227" s="49"/>
      <c r="Y227" s="49">
        <v>0</v>
      </c>
      <c r="Z227" s="49"/>
      <c r="AA227" s="49">
        <f>167050+107210+38887</f>
        <v>313147</v>
      </c>
      <c r="AB227" s="49"/>
      <c r="AC227" s="49">
        <v>0</v>
      </c>
      <c r="AD227" s="49"/>
      <c r="AE227" s="49">
        <v>0</v>
      </c>
      <c r="AF227" s="49"/>
      <c r="AG227" s="49">
        <v>0</v>
      </c>
      <c r="AH227" s="49"/>
      <c r="AI227" s="49">
        <f t="shared" si="12"/>
        <v>1186044</v>
      </c>
      <c r="AJ227" s="8"/>
      <c r="AK227" s="6" t="str">
        <f>'Gen Rev'!A227</f>
        <v>Gnadenhutten</v>
      </c>
      <c r="AL227" s="6" t="str">
        <f t="shared" si="10"/>
        <v>Gnadenhutten</v>
      </c>
      <c r="AM227" s="6" t="b">
        <f t="shared" si="11"/>
        <v>1</v>
      </c>
      <c r="AN227" s="15"/>
      <c r="AO227" s="15"/>
      <c r="AP227" s="15"/>
    </row>
    <row r="228" spans="1:42" ht="12" customHeight="1" x14ac:dyDescent="0.2">
      <c r="A228" s="6" t="s">
        <v>355</v>
      </c>
      <c r="C228" s="6" t="s">
        <v>351</v>
      </c>
      <c r="E228" s="49">
        <v>1799436</v>
      </c>
      <c r="F228" s="49"/>
      <c r="G228" s="49">
        <v>700293</v>
      </c>
      <c r="H228" s="49"/>
      <c r="I228" s="49">
        <v>373392</v>
      </c>
      <c r="J228" s="49"/>
      <c r="K228" s="49">
        <v>0</v>
      </c>
      <c r="L228" s="49"/>
      <c r="M228" s="49">
        <v>744460</v>
      </c>
      <c r="N228" s="49"/>
      <c r="O228" s="49">
        <v>146925</v>
      </c>
      <c r="P228" s="49"/>
      <c r="Q228" s="49">
        <v>0</v>
      </c>
      <c r="R228" s="49"/>
      <c r="S228" s="49">
        <v>81106</v>
      </c>
      <c r="T228" s="49"/>
      <c r="U228" s="49">
        <v>0</v>
      </c>
      <c r="V228" s="49"/>
      <c r="W228" s="49">
        <v>0</v>
      </c>
      <c r="X228" s="49"/>
      <c r="Y228" s="49">
        <v>1500</v>
      </c>
      <c r="Z228" s="49"/>
      <c r="AA228" s="49">
        <v>680000</v>
      </c>
      <c r="AB228" s="49"/>
      <c r="AC228" s="49">
        <v>0</v>
      </c>
      <c r="AD228" s="49"/>
      <c r="AE228" s="49">
        <v>0</v>
      </c>
      <c r="AF228" s="49"/>
      <c r="AG228" s="49">
        <v>0</v>
      </c>
      <c r="AH228" s="49"/>
      <c r="AI228" s="49">
        <f t="shared" si="12"/>
        <v>4527112</v>
      </c>
      <c r="AJ228" s="8"/>
      <c r="AK228" s="6" t="str">
        <f>'Gen Rev'!A228</f>
        <v>Golf Manor</v>
      </c>
      <c r="AL228" s="6" t="str">
        <f t="shared" si="10"/>
        <v>Golf Manor</v>
      </c>
      <c r="AM228" s="6" t="b">
        <f t="shared" si="11"/>
        <v>1</v>
      </c>
      <c r="AN228" s="14"/>
      <c r="AO228" s="14"/>
      <c r="AP228" s="14"/>
    </row>
    <row r="229" spans="1:42" ht="12" customHeight="1" x14ac:dyDescent="0.2">
      <c r="A229" s="6" t="s">
        <v>308</v>
      </c>
      <c r="C229" s="6" t="s">
        <v>306</v>
      </c>
      <c r="E229" s="49">
        <v>11043.92</v>
      </c>
      <c r="F229" s="49"/>
      <c r="G229" s="49">
        <v>0</v>
      </c>
      <c r="H229" s="49"/>
      <c r="I229" s="49">
        <v>28310.59</v>
      </c>
      <c r="J229" s="49"/>
      <c r="K229" s="49">
        <v>0</v>
      </c>
      <c r="L229" s="49"/>
      <c r="M229" s="49">
        <v>0</v>
      </c>
      <c r="N229" s="49"/>
      <c r="O229" s="49">
        <v>0</v>
      </c>
      <c r="P229" s="49"/>
      <c r="Q229" s="49">
        <v>64.349999999999994</v>
      </c>
      <c r="R229" s="49"/>
      <c r="S229" s="49">
        <v>0</v>
      </c>
      <c r="T229" s="49"/>
      <c r="U229" s="49">
        <v>0</v>
      </c>
      <c r="V229" s="49"/>
      <c r="W229" s="49">
        <v>0</v>
      </c>
      <c r="X229" s="49"/>
      <c r="Y229" s="49">
        <v>0</v>
      </c>
      <c r="Z229" s="49"/>
      <c r="AA229" s="49">
        <v>0</v>
      </c>
      <c r="AB229" s="49"/>
      <c r="AC229" s="49">
        <v>0</v>
      </c>
      <c r="AD229" s="49"/>
      <c r="AE229" s="49">
        <v>0</v>
      </c>
      <c r="AF229" s="49"/>
      <c r="AG229" s="49">
        <v>0</v>
      </c>
      <c r="AH229" s="49"/>
      <c r="AI229" s="49">
        <f t="shared" si="12"/>
        <v>39418.86</v>
      </c>
      <c r="AJ229" s="8"/>
      <c r="AK229" s="6" t="str">
        <f>'Gen Rev'!A229</f>
        <v>Gordon</v>
      </c>
      <c r="AL229" s="6" t="str">
        <f t="shared" si="10"/>
        <v>Gordon</v>
      </c>
      <c r="AM229" s="6" t="b">
        <f t="shared" si="11"/>
        <v>1</v>
      </c>
    </row>
    <row r="230" spans="1:42" s="14" customFormat="1" ht="12" customHeight="1" x14ac:dyDescent="0.2">
      <c r="A230" s="6" t="s">
        <v>418</v>
      </c>
      <c r="B230" s="6"/>
      <c r="C230" s="6" t="s">
        <v>419</v>
      </c>
      <c r="D230" s="6"/>
      <c r="E230" s="49">
        <v>230396</v>
      </c>
      <c r="F230" s="49"/>
      <c r="G230" s="49">
        <v>1195006</v>
      </c>
      <c r="H230" s="49"/>
      <c r="I230" s="49">
        <v>441613</v>
      </c>
      <c r="J230" s="49"/>
      <c r="K230" s="49">
        <v>334</v>
      </c>
      <c r="L230" s="49"/>
      <c r="M230" s="49">
        <v>351114</v>
      </c>
      <c r="N230" s="49"/>
      <c r="O230" s="49">
        <v>2790</v>
      </c>
      <c r="P230" s="49"/>
      <c r="Q230" s="49">
        <v>26748</v>
      </c>
      <c r="R230" s="49"/>
      <c r="S230" s="49">
        <v>98721</v>
      </c>
      <c r="T230" s="49"/>
      <c r="U230" s="49">
        <v>0</v>
      </c>
      <c r="V230" s="49"/>
      <c r="W230" s="49">
        <v>81838</v>
      </c>
      <c r="X230" s="49"/>
      <c r="Y230" s="49">
        <v>0</v>
      </c>
      <c r="Z230" s="49"/>
      <c r="AA230" s="49">
        <v>128621</v>
      </c>
      <c r="AB230" s="49"/>
      <c r="AC230" s="49">
        <v>0</v>
      </c>
      <c r="AD230" s="49"/>
      <c r="AE230" s="49">
        <v>0</v>
      </c>
      <c r="AF230" s="49"/>
      <c r="AG230" s="49">
        <v>0</v>
      </c>
      <c r="AH230" s="49"/>
      <c r="AI230" s="49">
        <f t="shared" si="12"/>
        <v>2557181</v>
      </c>
      <c r="AJ230" s="8"/>
      <c r="AK230" s="6" t="str">
        <f>'Gen Rev'!A230</f>
        <v>Grafton</v>
      </c>
      <c r="AL230" s="6" t="str">
        <f t="shared" si="10"/>
        <v>Grafton</v>
      </c>
      <c r="AM230" s="6" t="b">
        <f t="shared" si="11"/>
        <v>1</v>
      </c>
      <c r="AN230" s="13"/>
      <c r="AO230" s="13"/>
      <c r="AP230" s="13"/>
    </row>
    <row r="231" spans="1:42" ht="12" customHeight="1" x14ac:dyDescent="0.2">
      <c r="A231" s="6" t="s">
        <v>237</v>
      </c>
      <c r="C231" s="6" t="s">
        <v>558</v>
      </c>
      <c r="E231" s="49">
        <v>57349</v>
      </c>
      <c r="F231" s="49"/>
      <c r="G231" s="49">
        <v>231131.92</v>
      </c>
      <c r="H231" s="49"/>
      <c r="I231" s="49">
        <v>104898.99</v>
      </c>
      <c r="J231" s="49"/>
      <c r="K231" s="49">
        <v>22993.5</v>
      </c>
      <c r="L231" s="49"/>
      <c r="M231" s="49">
        <v>19267.16</v>
      </c>
      <c r="N231" s="49"/>
      <c r="O231" s="49">
        <v>10173.219999999999</v>
      </c>
      <c r="P231" s="49"/>
      <c r="Q231" s="49">
        <v>10240.200000000001</v>
      </c>
      <c r="R231" s="49"/>
      <c r="S231" s="49">
        <v>38939.300000000003</v>
      </c>
      <c r="T231" s="49"/>
      <c r="U231" s="49">
        <v>0</v>
      </c>
      <c r="V231" s="49"/>
      <c r="W231" s="49">
        <v>0</v>
      </c>
      <c r="X231" s="49"/>
      <c r="Y231" s="49">
        <v>0</v>
      </c>
      <c r="Z231" s="49"/>
      <c r="AA231" s="49">
        <v>239695.53</v>
      </c>
      <c r="AB231" s="49"/>
      <c r="AC231" s="49">
        <v>0</v>
      </c>
      <c r="AD231" s="49"/>
      <c r="AE231" s="49">
        <v>1586.89</v>
      </c>
      <c r="AF231" s="49"/>
      <c r="AG231" s="49">
        <v>0</v>
      </c>
      <c r="AH231" s="49"/>
      <c r="AI231" s="49">
        <f t="shared" si="12"/>
        <v>736275.71</v>
      </c>
      <c r="AJ231" s="8"/>
      <c r="AK231" s="6" t="str">
        <f>'Gen Rev'!A231</f>
        <v>Grand Rapids</v>
      </c>
      <c r="AL231" s="6" t="str">
        <f t="shared" si="10"/>
        <v>Grand Rapids</v>
      </c>
      <c r="AM231" s="6" t="b">
        <f t="shared" si="11"/>
        <v>1</v>
      </c>
      <c r="AN231" s="14"/>
      <c r="AO231" s="14"/>
      <c r="AP231" s="14"/>
    </row>
    <row r="232" spans="1:42" ht="12" customHeight="1" x14ac:dyDescent="0.2">
      <c r="A232" s="6" t="s">
        <v>400</v>
      </c>
      <c r="C232" s="6" t="s">
        <v>399</v>
      </c>
      <c r="E232" s="49">
        <v>64158</v>
      </c>
      <c r="F232" s="49"/>
      <c r="G232" s="49">
        <v>290075</v>
      </c>
      <c r="H232" s="49"/>
      <c r="I232" s="49">
        <f>77206+31813</f>
        <v>109019</v>
      </c>
      <c r="J232" s="49"/>
      <c r="K232" s="49">
        <v>0</v>
      </c>
      <c r="L232" s="49"/>
      <c r="M232" s="49">
        <v>24044</v>
      </c>
      <c r="N232" s="49"/>
      <c r="O232" s="49">
        <f>985+41643</f>
        <v>42628</v>
      </c>
      <c r="P232" s="49"/>
      <c r="Q232" s="49">
        <v>140</v>
      </c>
      <c r="R232" s="49"/>
      <c r="S232" s="49">
        <f>2595+140</f>
        <v>2735</v>
      </c>
      <c r="T232" s="49"/>
      <c r="U232" s="49">
        <v>0</v>
      </c>
      <c r="V232" s="49"/>
      <c r="W232" s="49">
        <v>0</v>
      </c>
      <c r="X232" s="49"/>
      <c r="Y232" s="49">
        <v>0</v>
      </c>
      <c r="Z232" s="49"/>
      <c r="AA232" s="49">
        <v>17652</v>
      </c>
      <c r="AB232" s="49"/>
      <c r="AC232" s="49">
        <v>0</v>
      </c>
      <c r="AD232" s="49"/>
      <c r="AE232" s="49">
        <v>4340</v>
      </c>
      <c r="AF232" s="49"/>
      <c r="AG232" s="49">
        <v>0</v>
      </c>
      <c r="AH232" s="49"/>
      <c r="AI232" s="49">
        <f t="shared" si="12"/>
        <v>554791</v>
      </c>
      <c r="AJ232" s="8"/>
      <c r="AK232" s="6" t="str">
        <f>'Gen Rev'!A232</f>
        <v>Grand River</v>
      </c>
      <c r="AL232" s="6" t="str">
        <f t="shared" si="10"/>
        <v>Grand River</v>
      </c>
      <c r="AM232" s="6" t="b">
        <f t="shared" si="11"/>
        <v>1</v>
      </c>
    </row>
    <row r="233" spans="1:42" s="14" customFormat="1" ht="12" customHeight="1" x14ac:dyDescent="0.2">
      <c r="A233" s="6" t="s">
        <v>407</v>
      </c>
      <c r="B233" s="6"/>
      <c r="C233" s="6" t="s">
        <v>408</v>
      </c>
      <c r="D233" s="6"/>
      <c r="E233" s="49">
        <v>412684</v>
      </c>
      <c r="F233" s="49"/>
      <c r="G233" s="49">
        <v>3175619</v>
      </c>
      <c r="H233" s="49"/>
      <c r="I233" s="49">
        <v>484070</v>
      </c>
      <c r="J233" s="49"/>
      <c r="K233" s="49">
        <v>26524</v>
      </c>
      <c r="L233" s="49"/>
      <c r="M233" s="49">
        <v>0</v>
      </c>
      <c r="N233" s="49"/>
      <c r="O233" s="49">
        <v>186221</v>
      </c>
      <c r="P233" s="49"/>
      <c r="Q233" s="49">
        <v>11251</v>
      </c>
      <c r="R233" s="49"/>
      <c r="S233" s="49">
        <v>135047</v>
      </c>
      <c r="T233" s="49"/>
      <c r="U233" s="49">
        <v>0</v>
      </c>
      <c r="V233" s="49"/>
      <c r="W233" s="49">
        <v>0</v>
      </c>
      <c r="X233" s="49"/>
      <c r="Y233" s="49">
        <v>0</v>
      </c>
      <c r="Z233" s="49"/>
      <c r="AA233" s="49">
        <v>474345</v>
      </c>
      <c r="AB233" s="49"/>
      <c r="AC233" s="49">
        <v>0</v>
      </c>
      <c r="AD233" s="49"/>
      <c r="AE233" s="49">
        <v>0</v>
      </c>
      <c r="AF233" s="49"/>
      <c r="AG233" s="49">
        <v>0</v>
      </c>
      <c r="AH233" s="49"/>
      <c r="AI233" s="49">
        <f t="shared" si="12"/>
        <v>4905761</v>
      </c>
      <c r="AJ233" s="8"/>
      <c r="AK233" s="6" t="str">
        <f>'Gen Rev'!A233</f>
        <v>Granville</v>
      </c>
      <c r="AL233" s="6" t="str">
        <f t="shared" si="10"/>
        <v>Granville</v>
      </c>
      <c r="AM233" s="6" t="b">
        <f t="shared" si="11"/>
        <v>1</v>
      </c>
      <c r="AN233" s="13"/>
      <c r="AO233" s="13"/>
      <c r="AP233" s="13"/>
    </row>
    <row r="234" spans="1:42" ht="12" customHeight="1" x14ac:dyDescent="0.2">
      <c r="A234" s="6" t="s">
        <v>409</v>
      </c>
      <c r="C234" s="6" t="s">
        <v>408</v>
      </c>
      <c r="E234" s="49">
        <v>2777</v>
      </c>
      <c r="F234" s="49"/>
      <c r="G234" s="49">
        <v>0</v>
      </c>
      <c r="H234" s="49"/>
      <c r="I234" s="49">
        <f>10785+9089</f>
        <v>19874</v>
      </c>
      <c r="J234" s="49"/>
      <c r="K234" s="49">
        <v>0</v>
      </c>
      <c r="L234" s="49"/>
      <c r="M234" s="49">
        <v>0</v>
      </c>
      <c r="N234" s="49"/>
      <c r="O234" s="49">
        <v>0</v>
      </c>
      <c r="P234" s="49"/>
      <c r="Q234" s="49">
        <v>0</v>
      </c>
      <c r="R234" s="49"/>
      <c r="S234" s="49">
        <f>477+365</f>
        <v>842</v>
      </c>
      <c r="T234" s="49"/>
      <c r="U234" s="49">
        <v>0</v>
      </c>
      <c r="V234" s="49"/>
      <c r="W234" s="49">
        <v>0</v>
      </c>
      <c r="X234" s="49"/>
      <c r="Y234" s="49">
        <v>0</v>
      </c>
      <c r="Z234" s="49"/>
      <c r="AA234" s="49">
        <v>0</v>
      </c>
      <c r="AB234" s="49"/>
      <c r="AC234" s="49">
        <v>0</v>
      </c>
      <c r="AD234" s="49"/>
      <c r="AE234" s="49">
        <v>0</v>
      </c>
      <c r="AF234" s="49"/>
      <c r="AG234" s="49">
        <v>0</v>
      </c>
      <c r="AH234" s="49"/>
      <c r="AI234" s="49">
        <f t="shared" si="12"/>
        <v>23493</v>
      </c>
      <c r="AJ234" s="8"/>
      <c r="AK234" s="6" t="str">
        <f>'Gen Rev'!A234</f>
        <v>Gratiot</v>
      </c>
      <c r="AL234" s="6" t="str">
        <f t="shared" si="10"/>
        <v>Gratiot</v>
      </c>
      <c r="AM234" s="6" t="b">
        <f t="shared" si="11"/>
        <v>1</v>
      </c>
    </row>
    <row r="235" spans="1:42" s="14" customFormat="1" ht="12" customHeight="1" x14ac:dyDescent="0.2">
      <c r="A235" s="6" t="s">
        <v>186</v>
      </c>
      <c r="B235" s="6"/>
      <c r="C235" s="6" t="s">
        <v>472</v>
      </c>
      <c r="D235" s="6"/>
      <c r="E235" s="49">
        <v>65395.199999999997</v>
      </c>
      <c r="F235" s="49"/>
      <c r="G235" s="49">
        <v>0</v>
      </c>
      <c r="H235" s="49"/>
      <c r="I235" s="49">
        <v>59425.14</v>
      </c>
      <c r="J235" s="49"/>
      <c r="K235" s="49">
        <v>0</v>
      </c>
      <c r="L235" s="49"/>
      <c r="M235" s="49">
        <v>274836.40000000002</v>
      </c>
      <c r="N235" s="49"/>
      <c r="O235" s="49">
        <v>45473.05</v>
      </c>
      <c r="P235" s="49"/>
      <c r="Q235" s="49">
        <v>481.79</v>
      </c>
      <c r="R235" s="49"/>
      <c r="S235" s="49">
        <v>30198.12</v>
      </c>
      <c r="T235" s="49"/>
      <c r="U235" s="49">
        <v>0</v>
      </c>
      <c r="V235" s="49"/>
      <c r="W235" s="49">
        <v>0</v>
      </c>
      <c r="X235" s="49"/>
      <c r="Y235" s="49">
        <v>0</v>
      </c>
      <c r="Z235" s="49"/>
      <c r="AA235" s="49">
        <v>0</v>
      </c>
      <c r="AB235" s="49"/>
      <c r="AC235" s="49">
        <v>0</v>
      </c>
      <c r="AD235" s="49"/>
      <c r="AE235" s="49">
        <v>0</v>
      </c>
      <c r="AF235" s="49"/>
      <c r="AG235" s="49">
        <v>0</v>
      </c>
      <c r="AH235" s="49"/>
      <c r="AI235" s="49">
        <f t="shared" si="12"/>
        <v>475809.69999999995</v>
      </c>
      <c r="AJ235" s="8"/>
      <c r="AK235" s="6" t="str">
        <f>'Gen Rev'!A235</f>
        <v>Gratis</v>
      </c>
      <c r="AL235" s="6" t="str">
        <f t="shared" si="10"/>
        <v>Gratis</v>
      </c>
      <c r="AM235" s="6" t="b">
        <f t="shared" si="11"/>
        <v>1</v>
      </c>
      <c r="AN235" s="13"/>
      <c r="AO235" s="13"/>
      <c r="AP235" s="13"/>
    </row>
    <row r="236" spans="1:42" s="14" customFormat="1" ht="12" customHeight="1" x14ac:dyDescent="0.2">
      <c r="A236" s="6" t="s">
        <v>442</v>
      </c>
      <c r="B236" s="6"/>
      <c r="C236" s="6" t="s">
        <v>441</v>
      </c>
      <c r="D236" s="6"/>
      <c r="E236" s="49">
        <v>2820</v>
      </c>
      <c r="F236" s="49"/>
      <c r="G236" s="49">
        <v>0</v>
      </c>
      <c r="H236" s="49"/>
      <c r="I236" s="49">
        <v>8423</v>
      </c>
      <c r="J236" s="49"/>
      <c r="K236" s="49">
        <v>0</v>
      </c>
      <c r="L236" s="49"/>
      <c r="M236" s="49">
        <v>0</v>
      </c>
      <c r="N236" s="49"/>
      <c r="O236" s="49">
        <v>0</v>
      </c>
      <c r="P236" s="49"/>
      <c r="Q236" s="49">
        <v>24</v>
      </c>
      <c r="R236" s="49"/>
      <c r="S236" s="49">
        <v>20</v>
      </c>
      <c r="T236" s="49"/>
      <c r="U236" s="49">
        <v>0</v>
      </c>
      <c r="V236" s="49"/>
      <c r="W236" s="49">
        <v>0</v>
      </c>
      <c r="X236" s="49"/>
      <c r="Y236" s="49">
        <v>0</v>
      </c>
      <c r="Z236" s="49"/>
      <c r="AA236" s="49">
        <v>0</v>
      </c>
      <c r="AB236" s="49"/>
      <c r="AC236" s="49">
        <v>0</v>
      </c>
      <c r="AD236" s="49"/>
      <c r="AE236" s="49">
        <v>0</v>
      </c>
      <c r="AF236" s="49"/>
      <c r="AG236" s="49">
        <v>0</v>
      </c>
      <c r="AH236" s="49"/>
      <c r="AI236" s="49">
        <f t="shared" si="12"/>
        <v>11287</v>
      </c>
      <c r="AJ236" s="8"/>
      <c r="AK236" s="6" t="str">
        <f>'Gen Rev'!A236</f>
        <v>Graysville</v>
      </c>
      <c r="AL236" s="6" t="str">
        <f t="shared" si="10"/>
        <v>Graysville</v>
      </c>
      <c r="AM236" s="6" t="b">
        <f t="shared" si="11"/>
        <v>1</v>
      </c>
    </row>
    <row r="237" spans="1:42" s="14" customFormat="1" ht="12" customHeight="1" x14ac:dyDescent="0.2">
      <c r="A237" s="6" t="s">
        <v>138</v>
      </c>
      <c r="B237" s="6"/>
      <c r="C237" s="6" t="s">
        <v>430</v>
      </c>
      <c r="D237" s="6"/>
      <c r="E237" s="49">
        <v>30219.96</v>
      </c>
      <c r="F237" s="49"/>
      <c r="G237" s="49">
        <v>0</v>
      </c>
      <c r="H237" s="49"/>
      <c r="I237" s="49">
        <v>24703.03</v>
      </c>
      <c r="J237" s="49"/>
      <c r="K237" s="49">
        <v>0</v>
      </c>
      <c r="L237" s="49"/>
      <c r="M237" s="49">
        <v>714.51</v>
      </c>
      <c r="N237" s="49"/>
      <c r="O237" s="49">
        <v>700</v>
      </c>
      <c r="P237" s="49"/>
      <c r="Q237" s="49">
        <v>800.92</v>
      </c>
      <c r="R237" s="49"/>
      <c r="S237" s="49">
        <v>9015.33</v>
      </c>
      <c r="T237" s="49"/>
      <c r="U237" s="49">
        <v>0</v>
      </c>
      <c r="V237" s="49"/>
      <c r="W237" s="49">
        <v>0</v>
      </c>
      <c r="X237" s="49"/>
      <c r="Y237" s="49">
        <v>0</v>
      </c>
      <c r="Z237" s="49"/>
      <c r="AA237" s="49">
        <v>0</v>
      </c>
      <c r="AB237" s="49"/>
      <c r="AC237" s="49">
        <v>0</v>
      </c>
      <c r="AD237" s="49"/>
      <c r="AE237" s="49">
        <v>0</v>
      </c>
      <c r="AF237" s="49"/>
      <c r="AG237" s="49">
        <v>0</v>
      </c>
      <c r="AH237" s="49"/>
      <c r="AI237" s="49">
        <f t="shared" si="12"/>
        <v>66153.75</v>
      </c>
      <c r="AJ237" s="8"/>
      <c r="AK237" s="6" t="str">
        <f>'Gen Rev'!A237</f>
        <v>Green Camp</v>
      </c>
      <c r="AL237" s="6" t="str">
        <f t="shared" si="10"/>
        <v>Green Camp</v>
      </c>
      <c r="AM237" s="6" t="b">
        <f t="shared" si="11"/>
        <v>1</v>
      </c>
    </row>
    <row r="238" spans="1:42" ht="12" customHeight="1" x14ac:dyDescent="0.2">
      <c r="A238" s="6" t="s">
        <v>204</v>
      </c>
      <c r="C238" s="6" t="s">
        <v>494</v>
      </c>
      <c r="E238" s="49">
        <v>100109.1</v>
      </c>
      <c r="F238" s="49"/>
      <c r="G238" s="49">
        <v>290342.46999999997</v>
      </c>
      <c r="H238" s="49"/>
      <c r="I238" s="49">
        <v>279141.65999999997</v>
      </c>
      <c r="J238" s="49"/>
      <c r="K238" s="49">
        <v>0</v>
      </c>
      <c r="L238" s="49"/>
      <c r="M238" s="49">
        <v>5311.25</v>
      </c>
      <c r="N238" s="49"/>
      <c r="O238" s="49">
        <v>12975.8</v>
      </c>
      <c r="P238" s="49"/>
      <c r="Q238" s="49">
        <v>775.96</v>
      </c>
      <c r="R238" s="49"/>
      <c r="S238" s="49">
        <v>38522.239999999998</v>
      </c>
      <c r="T238" s="49"/>
      <c r="U238" s="49">
        <v>0</v>
      </c>
      <c r="V238" s="49"/>
      <c r="W238" s="49">
        <v>0</v>
      </c>
      <c r="X238" s="49"/>
      <c r="Y238" s="49">
        <v>0</v>
      </c>
      <c r="Z238" s="49"/>
      <c r="AA238" s="49">
        <v>95000</v>
      </c>
      <c r="AB238" s="49"/>
      <c r="AC238" s="49">
        <v>0</v>
      </c>
      <c r="AD238" s="49"/>
      <c r="AE238" s="49">
        <v>0</v>
      </c>
      <c r="AF238" s="49"/>
      <c r="AG238" s="49">
        <v>0</v>
      </c>
      <c r="AH238" s="49"/>
      <c r="AI238" s="49">
        <f t="shared" si="12"/>
        <v>822178.48</v>
      </c>
      <c r="AJ238" s="8"/>
      <c r="AK238" s="6" t="str">
        <f>'Gen Rev'!A238</f>
        <v>Green Springs</v>
      </c>
      <c r="AL238" s="6" t="str">
        <f t="shared" si="10"/>
        <v>Green Springs</v>
      </c>
      <c r="AM238" s="6" t="b">
        <f t="shared" si="11"/>
        <v>1</v>
      </c>
    </row>
    <row r="239" spans="1:42" s="14" customFormat="1" ht="12" customHeight="1" x14ac:dyDescent="0.2">
      <c r="A239" s="6" t="s">
        <v>820</v>
      </c>
      <c r="B239" s="6"/>
      <c r="C239" s="6" t="s">
        <v>379</v>
      </c>
      <c r="D239" s="6"/>
      <c r="E239" s="49">
        <v>87048</v>
      </c>
      <c r="F239" s="49"/>
      <c r="G239" s="49">
        <v>1245132</v>
      </c>
      <c r="H239" s="49"/>
      <c r="I239" s="49">
        <v>713924</v>
      </c>
      <c r="J239" s="49"/>
      <c r="K239" s="49">
        <v>0</v>
      </c>
      <c r="L239" s="49"/>
      <c r="M239" s="49">
        <v>138818</v>
      </c>
      <c r="N239" s="49"/>
      <c r="O239" s="49">
        <v>45691</v>
      </c>
      <c r="P239" s="49"/>
      <c r="Q239" s="49">
        <v>12351</v>
      </c>
      <c r="R239" s="49"/>
      <c r="S239" s="49">
        <v>38551</v>
      </c>
      <c r="T239" s="49"/>
      <c r="U239" s="49">
        <v>0</v>
      </c>
      <c r="V239" s="49"/>
      <c r="W239" s="49">
        <v>0</v>
      </c>
      <c r="X239" s="49"/>
      <c r="Y239" s="49">
        <v>0</v>
      </c>
      <c r="Z239" s="49"/>
      <c r="AA239" s="49">
        <v>0</v>
      </c>
      <c r="AB239" s="49"/>
      <c r="AC239" s="49">
        <v>0</v>
      </c>
      <c r="AD239" s="49"/>
      <c r="AE239" s="49">
        <v>0</v>
      </c>
      <c r="AF239" s="49"/>
      <c r="AG239" s="49">
        <v>0</v>
      </c>
      <c r="AH239" s="49"/>
      <c r="AI239" s="49">
        <f t="shared" si="12"/>
        <v>2281515</v>
      </c>
      <c r="AJ239" s="8"/>
      <c r="AK239" s="6" t="str">
        <f>'Gen Rev'!A239</f>
        <v>Greenfield</v>
      </c>
      <c r="AL239" s="6" t="str">
        <f t="shared" si="10"/>
        <v>Greenfield</v>
      </c>
      <c r="AM239" s="6" t="b">
        <f t="shared" si="11"/>
        <v>1</v>
      </c>
      <c r="AN239" s="6"/>
      <c r="AO239" s="6"/>
      <c r="AP239" s="6"/>
    </row>
    <row r="240" spans="1:42" s="14" customFormat="1" ht="12" customHeight="1" x14ac:dyDescent="0.2">
      <c r="A240" s="6" t="s">
        <v>89</v>
      </c>
      <c r="B240" s="6"/>
      <c r="C240" s="6" t="s">
        <v>351</v>
      </c>
      <c r="D240" s="6"/>
      <c r="E240" s="49">
        <v>1331015.76</v>
      </c>
      <c r="F240" s="49"/>
      <c r="G240" s="49">
        <v>989026.57</v>
      </c>
      <c r="H240" s="49"/>
      <c r="I240" s="49">
        <v>714059.85</v>
      </c>
      <c r="J240" s="49"/>
      <c r="K240" s="49">
        <v>105217.4</v>
      </c>
      <c r="L240" s="49"/>
      <c r="M240" s="49">
        <v>480583.22</v>
      </c>
      <c r="N240" s="49"/>
      <c r="O240" s="49">
        <v>107000.27</v>
      </c>
      <c r="P240" s="49"/>
      <c r="Q240" s="49">
        <v>494.84</v>
      </c>
      <c r="R240" s="49"/>
      <c r="S240" s="49">
        <v>122118.87</v>
      </c>
      <c r="T240" s="49"/>
      <c r="U240" s="49">
        <v>0</v>
      </c>
      <c r="V240" s="49"/>
      <c r="W240" s="49">
        <v>0</v>
      </c>
      <c r="X240" s="49"/>
      <c r="Y240" s="49">
        <v>0</v>
      </c>
      <c r="Z240" s="49"/>
      <c r="AA240" s="49">
        <v>291500</v>
      </c>
      <c r="AB240" s="49"/>
      <c r="AC240" s="49">
        <v>0</v>
      </c>
      <c r="AD240" s="49"/>
      <c r="AE240" s="49">
        <v>0</v>
      </c>
      <c r="AF240" s="49"/>
      <c r="AG240" s="49">
        <v>0</v>
      </c>
      <c r="AH240" s="49"/>
      <c r="AI240" s="49">
        <f t="shared" si="12"/>
        <v>4141016.78</v>
      </c>
      <c r="AJ240" s="8"/>
      <c r="AK240" s="6" t="str">
        <f>'Gen Rev'!A240</f>
        <v>Greenhills</v>
      </c>
      <c r="AL240" s="6" t="str">
        <f t="shared" si="10"/>
        <v>Greenhills</v>
      </c>
      <c r="AM240" s="6" t="b">
        <f t="shared" si="11"/>
        <v>1</v>
      </c>
      <c r="AN240" s="12"/>
      <c r="AO240" s="12"/>
      <c r="AP240" s="12"/>
    </row>
    <row r="241" spans="1:42" s="14" customFormat="1" ht="12" customHeight="1" x14ac:dyDescent="0.2">
      <c r="A241" s="6" t="s">
        <v>108</v>
      </c>
      <c r="B241" s="6"/>
      <c r="C241" s="6" t="s">
        <v>386</v>
      </c>
      <c r="D241" s="6"/>
      <c r="E241" s="49">
        <v>163383.47</v>
      </c>
      <c r="F241" s="49"/>
      <c r="G241" s="49">
        <v>200425.62</v>
      </c>
      <c r="H241" s="49"/>
      <c r="I241" s="49">
        <v>137990.16</v>
      </c>
      <c r="J241" s="49"/>
      <c r="K241" s="49">
        <v>3187.19</v>
      </c>
      <c r="L241" s="49"/>
      <c r="M241" s="49">
        <v>4511</v>
      </c>
      <c r="N241" s="49"/>
      <c r="O241" s="49">
        <v>34021.279999999999</v>
      </c>
      <c r="P241" s="49"/>
      <c r="Q241" s="49">
        <v>2911.73</v>
      </c>
      <c r="R241" s="49"/>
      <c r="S241" s="49">
        <v>11374.93</v>
      </c>
      <c r="T241" s="49"/>
      <c r="U241" s="49">
        <v>0</v>
      </c>
      <c r="V241" s="49"/>
      <c r="W241" s="49">
        <v>0</v>
      </c>
      <c r="X241" s="49"/>
      <c r="Y241" s="49">
        <v>0</v>
      </c>
      <c r="Z241" s="49"/>
      <c r="AA241" s="49">
        <v>184204.42</v>
      </c>
      <c r="AB241" s="49"/>
      <c r="AC241" s="49">
        <v>0</v>
      </c>
      <c r="AD241" s="49"/>
      <c r="AE241" s="49">
        <v>0</v>
      </c>
      <c r="AF241" s="49"/>
      <c r="AG241" s="49">
        <v>0</v>
      </c>
      <c r="AH241" s="49"/>
      <c r="AI241" s="49">
        <f t="shared" si="12"/>
        <v>742009.8</v>
      </c>
      <c r="AJ241" s="8"/>
      <c r="AK241" s="6" t="str">
        <f>'Gen Rev'!A241</f>
        <v>Greenwich</v>
      </c>
      <c r="AL241" s="6" t="str">
        <f t="shared" si="10"/>
        <v>Greenwich</v>
      </c>
      <c r="AM241" s="6" t="b">
        <f t="shared" si="11"/>
        <v>1</v>
      </c>
      <c r="AN241" s="12"/>
      <c r="AO241" s="12"/>
      <c r="AP241" s="12"/>
    </row>
    <row r="242" spans="1:42" s="14" customFormat="1" ht="12" customHeight="1" x14ac:dyDescent="0.2">
      <c r="A242" s="6" t="s">
        <v>636</v>
      </c>
      <c r="B242" s="6"/>
      <c r="C242" s="6" t="s">
        <v>460</v>
      </c>
      <c r="D242" s="6"/>
      <c r="E242" s="49">
        <v>22636</v>
      </c>
      <c r="F242" s="49"/>
      <c r="G242" s="49">
        <v>19865</v>
      </c>
      <c r="H242" s="49"/>
      <c r="I242" s="49">
        <v>18267</v>
      </c>
      <c r="J242" s="49"/>
      <c r="K242" s="49">
        <v>0</v>
      </c>
      <c r="L242" s="49"/>
      <c r="M242" s="49">
        <v>34137</v>
      </c>
      <c r="N242" s="49"/>
      <c r="O242" s="49">
        <v>5135</v>
      </c>
      <c r="P242" s="49"/>
      <c r="Q242" s="49">
        <v>0</v>
      </c>
      <c r="R242" s="49"/>
      <c r="S242" s="49">
        <v>6891</v>
      </c>
      <c r="T242" s="49"/>
      <c r="U242" s="49">
        <v>0</v>
      </c>
      <c r="V242" s="49"/>
      <c r="W242" s="49">
        <v>0</v>
      </c>
      <c r="X242" s="49"/>
      <c r="Y242" s="49">
        <v>0</v>
      </c>
      <c r="Z242" s="49"/>
      <c r="AA242" s="49">
        <v>0</v>
      </c>
      <c r="AB242" s="49"/>
      <c r="AC242" s="49">
        <v>0</v>
      </c>
      <c r="AD242" s="49"/>
      <c r="AE242" s="49">
        <v>0</v>
      </c>
      <c r="AF242" s="49"/>
      <c r="AG242" s="49">
        <v>0</v>
      </c>
      <c r="AH242" s="49"/>
      <c r="AI242" s="49">
        <f t="shared" si="12"/>
        <v>106931</v>
      </c>
      <c r="AJ242" s="8"/>
      <c r="AK242" s="6" t="str">
        <f>'Gen Rev'!A242</f>
        <v>Grower Hill</v>
      </c>
      <c r="AL242" s="6" t="str">
        <f t="shared" si="10"/>
        <v>Grower Hill</v>
      </c>
      <c r="AM242" s="6" t="b">
        <f t="shared" si="11"/>
        <v>1</v>
      </c>
      <c r="AN242" s="12"/>
      <c r="AO242" s="12"/>
      <c r="AP242" s="12"/>
    </row>
    <row r="243" spans="1:42" ht="12" customHeight="1" x14ac:dyDescent="0.2">
      <c r="A243" s="6" t="s">
        <v>339</v>
      </c>
      <c r="C243" s="6" t="s">
        <v>77</v>
      </c>
      <c r="E243" s="49">
        <v>74065.88</v>
      </c>
      <c r="F243" s="49"/>
      <c r="G243" s="49">
        <v>0</v>
      </c>
      <c r="H243" s="49"/>
      <c r="I243" s="49">
        <v>131510.39000000001</v>
      </c>
      <c r="J243" s="49"/>
      <c r="K243" s="49">
        <v>0</v>
      </c>
      <c r="L243" s="49"/>
      <c r="M243" s="49">
        <v>11385</v>
      </c>
      <c r="N243" s="49"/>
      <c r="O243" s="49">
        <v>6666.5</v>
      </c>
      <c r="P243" s="49"/>
      <c r="Q243" s="49">
        <v>1101.8499999999999</v>
      </c>
      <c r="R243" s="49"/>
      <c r="S243" s="49">
        <v>9251.01</v>
      </c>
      <c r="T243" s="49"/>
      <c r="U243" s="49">
        <v>0</v>
      </c>
      <c r="V243" s="49"/>
      <c r="W243" s="49">
        <v>0</v>
      </c>
      <c r="X243" s="49"/>
      <c r="Y243" s="49">
        <v>0</v>
      </c>
      <c r="Z243" s="49"/>
      <c r="AA243" s="49">
        <v>0</v>
      </c>
      <c r="AB243" s="49"/>
      <c r="AC243" s="49">
        <v>0</v>
      </c>
      <c r="AD243" s="49"/>
      <c r="AE243" s="49">
        <v>0</v>
      </c>
      <c r="AF243" s="49"/>
      <c r="AG243" s="49">
        <v>0</v>
      </c>
      <c r="AH243" s="49"/>
      <c r="AI243" s="49">
        <f t="shared" si="12"/>
        <v>233980.63000000003</v>
      </c>
      <c r="AJ243" s="8"/>
      <c r="AK243" s="6" t="str">
        <f>'Gen Rev'!A243</f>
        <v>Hamden</v>
      </c>
      <c r="AL243" s="6" t="str">
        <f t="shared" si="10"/>
        <v>Hamden</v>
      </c>
      <c r="AM243" s="6" t="b">
        <f t="shared" si="11"/>
        <v>1</v>
      </c>
    </row>
    <row r="244" spans="1:42" s="12" customFormat="1" ht="12" customHeight="1" x14ac:dyDescent="0.2">
      <c r="A244" s="6" t="s">
        <v>23</v>
      </c>
      <c r="B244" s="6"/>
      <c r="C244" s="6" t="s">
        <v>265</v>
      </c>
      <c r="D244" s="6"/>
      <c r="E244" s="49">
        <v>14207.72</v>
      </c>
      <c r="F244" s="49"/>
      <c r="G244" s="49">
        <v>0</v>
      </c>
      <c r="H244" s="49"/>
      <c r="I244" s="49">
        <v>27289.49</v>
      </c>
      <c r="J244" s="49"/>
      <c r="K244" s="49">
        <v>0</v>
      </c>
      <c r="L244" s="49"/>
      <c r="M244" s="49">
        <v>0</v>
      </c>
      <c r="N244" s="49"/>
      <c r="O244" s="49">
        <v>9695.1299999999992</v>
      </c>
      <c r="P244" s="49"/>
      <c r="Q244" s="49">
        <v>620.22</v>
      </c>
      <c r="R244" s="49"/>
      <c r="S244" s="49">
        <v>22406.7</v>
      </c>
      <c r="T244" s="49"/>
      <c r="U244" s="49">
        <v>0</v>
      </c>
      <c r="V244" s="49"/>
      <c r="W244" s="49">
        <v>0</v>
      </c>
      <c r="X244" s="49"/>
      <c r="Y244" s="49">
        <v>0</v>
      </c>
      <c r="Z244" s="49"/>
      <c r="AA244" s="49">
        <v>75668.759999999995</v>
      </c>
      <c r="AB244" s="49"/>
      <c r="AC244" s="49">
        <v>0</v>
      </c>
      <c r="AD244" s="49"/>
      <c r="AE244" s="49">
        <v>0</v>
      </c>
      <c r="AF244" s="49"/>
      <c r="AG244" s="49">
        <v>0</v>
      </c>
      <c r="AH244" s="49"/>
      <c r="AI244" s="49">
        <f t="shared" si="12"/>
        <v>149888.01999999999</v>
      </c>
      <c r="AJ244" s="8"/>
      <c r="AK244" s="6" t="str">
        <f>'Gen Rev'!A244</f>
        <v>Hamersville</v>
      </c>
      <c r="AL244" s="6" t="str">
        <f t="shared" si="10"/>
        <v>Hamersville</v>
      </c>
      <c r="AM244" s="6" t="b">
        <f t="shared" si="11"/>
        <v>1</v>
      </c>
      <c r="AN244" s="14"/>
      <c r="AO244" s="14"/>
      <c r="AP244" s="14"/>
    </row>
    <row r="245" spans="1:42" s="14" customFormat="1" ht="12" customHeight="1" x14ac:dyDescent="0.2">
      <c r="A245" s="6" t="s">
        <v>800</v>
      </c>
      <c r="B245" s="6"/>
      <c r="C245" s="6" t="s">
        <v>377</v>
      </c>
      <c r="D245" s="6"/>
      <c r="E245" s="49">
        <v>43298.22</v>
      </c>
      <c r="F245" s="49"/>
      <c r="G245" s="49">
        <v>96536.41</v>
      </c>
      <c r="H245" s="49"/>
      <c r="I245" s="49">
        <v>51399.12</v>
      </c>
      <c r="J245" s="49"/>
      <c r="K245" s="49">
        <v>0</v>
      </c>
      <c r="L245" s="49"/>
      <c r="M245" s="49">
        <v>50</v>
      </c>
      <c r="N245" s="49"/>
      <c r="O245" s="49">
        <v>2480.11</v>
      </c>
      <c r="P245" s="49"/>
      <c r="Q245" s="49">
        <v>3764.97</v>
      </c>
      <c r="R245" s="49"/>
      <c r="S245" s="49">
        <v>29627.14</v>
      </c>
      <c r="T245" s="49"/>
      <c r="U245" s="49">
        <v>0</v>
      </c>
      <c r="V245" s="49"/>
      <c r="W245" s="49">
        <v>0</v>
      </c>
      <c r="X245" s="49"/>
      <c r="Y245" s="49">
        <v>0</v>
      </c>
      <c r="Z245" s="49"/>
      <c r="AA245" s="49">
        <v>0</v>
      </c>
      <c r="AB245" s="49"/>
      <c r="AC245" s="49">
        <v>0</v>
      </c>
      <c r="AD245" s="49"/>
      <c r="AE245" s="49">
        <v>0</v>
      </c>
      <c r="AF245" s="49"/>
      <c r="AG245" s="49">
        <v>0</v>
      </c>
      <c r="AH245" s="49"/>
      <c r="AI245" s="49">
        <f t="shared" si="12"/>
        <v>227155.96999999997</v>
      </c>
      <c r="AJ245" s="8"/>
      <c r="AK245" s="6" t="str">
        <f>'Gen Rev'!A245</f>
        <v>Hamler</v>
      </c>
      <c r="AL245" s="6" t="str">
        <f t="shared" si="10"/>
        <v>Hamler</v>
      </c>
      <c r="AM245" s="6" t="b">
        <f t="shared" si="11"/>
        <v>1</v>
      </c>
      <c r="AN245" s="6"/>
      <c r="AO245" s="6"/>
      <c r="AP245" s="6"/>
    </row>
    <row r="246" spans="1:42" ht="12" customHeight="1" x14ac:dyDescent="0.2">
      <c r="A246" s="6" t="s">
        <v>118</v>
      </c>
      <c r="C246" s="6" t="s">
        <v>406</v>
      </c>
      <c r="E246" s="49">
        <v>3561.88</v>
      </c>
      <c r="F246" s="49"/>
      <c r="G246" s="49">
        <v>0</v>
      </c>
      <c r="H246" s="49"/>
      <c r="I246" s="49">
        <v>23389.24</v>
      </c>
      <c r="J246" s="49"/>
      <c r="K246" s="49">
        <v>0</v>
      </c>
      <c r="L246" s="49"/>
      <c r="M246" s="49">
        <v>0</v>
      </c>
      <c r="N246" s="49"/>
      <c r="O246" s="49">
        <v>346611.54</v>
      </c>
      <c r="P246" s="49"/>
      <c r="Q246" s="49">
        <v>101.85</v>
      </c>
      <c r="R246" s="49"/>
      <c r="S246" s="49">
        <v>24181.74</v>
      </c>
      <c r="T246" s="49"/>
      <c r="U246" s="49">
        <v>0</v>
      </c>
      <c r="V246" s="49"/>
      <c r="W246" s="49">
        <v>0</v>
      </c>
      <c r="X246" s="49"/>
      <c r="Y246" s="49">
        <v>0</v>
      </c>
      <c r="Z246" s="49"/>
      <c r="AA246" s="49">
        <v>0</v>
      </c>
      <c r="AB246" s="49"/>
      <c r="AC246" s="49">
        <v>0</v>
      </c>
      <c r="AD246" s="49"/>
      <c r="AE246" s="49">
        <v>3459.95</v>
      </c>
      <c r="AF246" s="49"/>
      <c r="AG246" s="49">
        <v>0</v>
      </c>
      <c r="AH246" s="49"/>
      <c r="AI246" s="49">
        <f t="shared" si="12"/>
        <v>401306.19999999995</v>
      </c>
      <c r="AJ246" s="8"/>
      <c r="AK246" s="6" t="str">
        <f>'Gen Rev'!A246</f>
        <v>Hanging Rock</v>
      </c>
      <c r="AL246" s="6" t="str">
        <f t="shared" si="10"/>
        <v>Hanging Rock</v>
      </c>
      <c r="AM246" s="6" t="b">
        <f t="shared" si="11"/>
        <v>1</v>
      </c>
      <c r="AN246" s="15"/>
      <c r="AO246" s="15"/>
      <c r="AP246" s="15"/>
    </row>
    <row r="247" spans="1:42" s="14" customFormat="1" ht="12" customHeight="1" x14ac:dyDescent="0.2">
      <c r="A247" s="6" t="s">
        <v>703</v>
      </c>
      <c r="B247" s="6"/>
      <c r="C247" s="6" t="s">
        <v>408</v>
      </c>
      <c r="D247" s="6"/>
      <c r="E247" s="49">
        <v>189019.06</v>
      </c>
      <c r="F247" s="49"/>
      <c r="G247" s="49">
        <v>0</v>
      </c>
      <c r="H247" s="49"/>
      <c r="I247" s="49">
        <v>70362.36</v>
      </c>
      <c r="J247" s="49"/>
      <c r="K247" s="49">
        <v>0</v>
      </c>
      <c r="L247" s="49"/>
      <c r="M247" s="49">
        <v>0</v>
      </c>
      <c r="N247" s="49"/>
      <c r="O247" s="49">
        <v>7791.64</v>
      </c>
      <c r="P247" s="49"/>
      <c r="Q247" s="49">
        <v>212.81</v>
      </c>
      <c r="R247" s="49"/>
      <c r="S247" s="49">
        <v>437.56</v>
      </c>
      <c r="T247" s="49"/>
      <c r="U247" s="49">
        <v>0</v>
      </c>
      <c r="V247" s="49"/>
      <c r="W247" s="49">
        <v>0</v>
      </c>
      <c r="X247" s="49"/>
      <c r="Y247" s="49">
        <v>0</v>
      </c>
      <c r="Z247" s="49"/>
      <c r="AA247" s="49">
        <v>0</v>
      </c>
      <c r="AB247" s="49"/>
      <c r="AC247" s="49">
        <v>0</v>
      </c>
      <c r="AD247" s="49"/>
      <c r="AE247" s="49">
        <v>0</v>
      </c>
      <c r="AF247" s="49"/>
      <c r="AG247" s="49">
        <v>0</v>
      </c>
      <c r="AH247" s="49"/>
      <c r="AI247" s="49">
        <f t="shared" si="12"/>
        <v>267823.43</v>
      </c>
      <c r="AJ247" s="18"/>
      <c r="AK247" s="6" t="str">
        <f>'Gen Rev'!A247</f>
        <v>Hanover</v>
      </c>
      <c r="AL247" s="6" t="str">
        <f t="shared" si="10"/>
        <v>Hanover</v>
      </c>
      <c r="AM247" s="6" t="b">
        <f t="shared" si="11"/>
        <v>1</v>
      </c>
      <c r="AN247" s="18"/>
      <c r="AO247" s="18"/>
      <c r="AP247" s="18"/>
    </row>
    <row r="248" spans="1:42" ht="12" customHeight="1" x14ac:dyDescent="0.2">
      <c r="A248" s="6" t="s">
        <v>131</v>
      </c>
      <c r="C248" s="6" t="s">
        <v>423</v>
      </c>
      <c r="E248" s="49">
        <v>5622.75</v>
      </c>
      <c r="F248" s="49"/>
      <c r="G248" s="49">
        <v>0</v>
      </c>
      <c r="H248" s="49"/>
      <c r="I248" s="49">
        <v>9026.2199999999993</v>
      </c>
      <c r="J248" s="49"/>
      <c r="K248" s="49">
        <v>810.69</v>
      </c>
      <c r="L248" s="49"/>
      <c r="M248" s="49">
        <v>0</v>
      </c>
      <c r="N248" s="49"/>
      <c r="O248" s="49">
        <v>527.41999999999996</v>
      </c>
      <c r="P248" s="49"/>
      <c r="Q248" s="49">
        <v>0</v>
      </c>
      <c r="R248" s="49"/>
      <c r="S248" s="49">
        <v>27880.85</v>
      </c>
      <c r="T248" s="49"/>
      <c r="U248" s="49">
        <v>0</v>
      </c>
      <c r="V248" s="49"/>
      <c r="W248" s="49">
        <v>0</v>
      </c>
      <c r="X248" s="49"/>
      <c r="Y248" s="49">
        <v>0</v>
      </c>
      <c r="Z248" s="49"/>
      <c r="AA248" s="49">
        <v>0</v>
      </c>
      <c r="AB248" s="49"/>
      <c r="AC248" s="49">
        <v>0</v>
      </c>
      <c r="AD248" s="49"/>
      <c r="AE248" s="49">
        <v>0</v>
      </c>
      <c r="AF248" s="49"/>
      <c r="AG248" s="49">
        <v>0</v>
      </c>
      <c r="AH248" s="49"/>
      <c r="AI248" s="49">
        <f t="shared" si="12"/>
        <v>43867.93</v>
      </c>
      <c r="AJ248" s="8"/>
      <c r="AK248" s="6" t="str">
        <f>'Gen Rev'!A248</f>
        <v>Harbor View</v>
      </c>
      <c r="AL248" s="6" t="str">
        <f t="shared" si="10"/>
        <v>Harbor View</v>
      </c>
      <c r="AM248" s="6" t="b">
        <f t="shared" si="11"/>
        <v>1</v>
      </c>
      <c r="AN248" s="14"/>
      <c r="AO248" s="14"/>
      <c r="AP248" s="14"/>
    </row>
    <row r="249" spans="1:42" ht="12" customHeight="1" x14ac:dyDescent="0.2">
      <c r="A249" s="6" t="s">
        <v>246</v>
      </c>
      <c r="C249" s="6" t="s">
        <v>566</v>
      </c>
      <c r="E249" s="49">
        <v>15670.21</v>
      </c>
      <c r="F249" s="49"/>
      <c r="G249" s="49">
        <v>0</v>
      </c>
      <c r="H249" s="49"/>
      <c r="I249" s="49">
        <v>14884.22</v>
      </c>
      <c r="J249" s="49"/>
      <c r="K249" s="49">
        <v>0</v>
      </c>
      <c r="L249" s="49"/>
      <c r="M249" s="49">
        <v>0</v>
      </c>
      <c r="N249" s="49"/>
      <c r="O249" s="49">
        <v>0</v>
      </c>
      <c r="P249" s="49"/>
      <c r="Q249" s="49">
        <v>140.72</v>
      </c>
      <c r="R249" s="49"/>
      <c r="S249" s="49">
        <v>2837.38</v>
      </c>
      <c r="T249" s="49"/>
      <c r="U249" s="49">
        <v>0</v>
      </c>
      <c r="V249" s="49"/>
      <c r="W249" s="49">
        <v>0</v>
      </c>
      <c r="X249" s="49"/>
      <c r="Y249" s="49">
        <v>0</v>
      </c>
      <c r="Z249" s="49"/>
      <c r="AA249" s="49">
        <v>0</v>
      </c>
      <c r="AB249" s="49"/>
      <c r="AC249" s="49">
        <v>0</v>
      </c>
      <c r="AD249" s="49"/>
      <c r="AE249" s="49">
        <v>5783</v>
      </c>
      <c r="AF249" s="49"/>
      <c r="AG249" s="49">
        <v>0</v>
      </c>
      <c r="AH249" s="49"/>
      <c r="AI249" s="49">
        <f t="shared" si="12"/>
        <v>39315.53</v>
      </c>
      <c r="AJ249" s="8"/>
      <c r="AK249" s="6" t="str">
        <f>'Gen Rev'!A249</f>
        <v>Harpster</v>
      </c>
      <c r="AL249" s="6" t="str">
        <f t="shared" si="10"/>
        <v>Harpster</v>
      </c>
      <c r="AM249" s="6" t="b">
        <f t="shared" si="11"/>
        <v>1</v>
      </c>
    </row>
    <row r="250" spans="1:42" s="18" customFormat="1" ht="12" customHeight="1" x14ac:dyDescent="0.2">
      <c r="A250" s="6" t="s">
        <v>801</v>
      </c>
      <c r="B250" s="6"/>
      <c r="C250" s="6" t="s">
        <v>329</v>
      </c>
      <c r="D250" s="6"/>
      <c r="E250" s="49">
        <v>19052.45</v>
      </c>
      <c r="F250" s="49"/>
      <c r="G250" s="49">
        <v>49055.27</v>
      </c>
      <c r="H250" s="49"/>
      <c r="I250" s="49">
        <v>21018.48</v>
      </c>
      <c r="J250" s="49"/>
      <c r="K250" s="49">
        <v>869.44</v>
      </c>
      <c r="L250" s="49"/>
      <c r="M250" s="49">
        <v>1100</v>
      </c>
      <c r="N250" s="49"/>
      <c r="O250" s="49">
        <v>11956.31</v>
      </c>
      <c r="P250" s="49"/>
      <c r="Q250" s="49">
        <v>49.26</v>
      </c>
      <c r="R250" s="49"/>
      <c r="S250" s="49">
        <v>4324.76</v>
      </c>
      <c r="T250" s="49"/>
      <c r="U250" s="49">
        <v>0</v>
      </c>
      <c r="V250" s="49"/>
      <c r="W250" s="49">
        <v>0</v>
      </c>
      <c r="X250" s="49"/>
      <c r="Y250" s="49">
        <v>0</v>
      </c>
      <c r="Z250" s="49"/>
      <c r="AA250" s="49">
        <v>0</v>
      </c>
      <c r="AB250" s="49"/>
      <c r="AC250" s="49">
        <v>0</v>
      </c>
      <c r="AD250" s="49"/>
      <c r="AE250" s="49">
        <v>0</v>
      </c>
      <c r="AF250" s="49"/>
      <c r="AG250" s="49">
        <v>0</v>
      </c>
      <c r="AH250" s="49"/>
      <c r="AI250" s="49">
        <f t="shared" si="12"/>
        <v>107425.96999999999</v>
      </c>
      <c r="AJ250" s="8"/>
      <c r="AK250" s="6" t="str">
        <f>'Gen Rev'!A250</f>
        <v>Harrisburg</v>
      </c>
      <c r="AL250" s="6" t="str">
        <f t="shared" si="10"/>
        <v>Harrisburg</v>
      </c>
      <c r="AM250" s="6" t="b">
        <f t="shared" si="11"/>
        <v>1</v>
      </c>
      <c r="AN250" s="6"/>
      <c r="AO250" s="6"/>
      <c r="AP250" s="6"/>
    </row>
    <row r="251" spans="1:42" ht="12" customHeight="1" x14ac:dyDescent="0.2">
      <c r="A251" s="6" t="s">
        <v>715</v>
      </c>
      <c r="C251" s="6" t="s">
        <v>373</v>
      </c>
      <c r="E251" s="49">
        <v>12040.7</v>
      </c>
      <c r="F251" s="49"/>
      <c r="G251" s="49">
        <v>0</v>
      </c>
      <c r="H251" s="49"/>
      <c r="I251" s="49">
        <v>31928.560000000001</v>
      </c>
      <c r="J251" s="49"/>
      <c r="K251" s="49">
        <v>0</v>
      </c>
      <c r="L251" s="49"/>
      <c r="M251" s="49">
        <v>2031.21</v>
      </c>
      <c r="N251" s="49"/>
      <c r="O251" s="49">
        <v>0</v>
      </c>
      <c r="P251" s="49"/>
      <c r="Q251" s="49">
        <v>7.88</v>
      </c>
      <c r="R251" s="49"/>
      <c r="S251" s="49">
        <v>1113.27</v>
      </c>
      <c r="T251" s="49"/>
      <c r="U251" s="49">
        <v>0</v>
      </c>
      <c r="V251" s="49"/>
      <c r="W251" s="49">
        <v>0</v>
      </c>
      <c r="X251" s="49"/>
      <c r="Y251" s="49">
        <v>0</v>
      </c>
      <c r="Z251" s="49"/>
      <c r="AA251" s="49">
        <v>0</v>
      </c>
      <c r="AB251" s="49"/>
      <c r="AC251" s="49">
        <v>0</v>
      </c>
      <c r="AD251" s="49"/>
      <c r="AE251" s="49">
        <v>99002.22</v>
      </c>
      <c r="AF251" s="49"/>
      <c r="AG251" s="49">
        <v>0</v>
      </c>
      <c r="AH251" s="49"/>
      <c r="AI251" s="49">
        <f t="shared" si="12"/>
        <v>146123.84</v>
      </c>
      <c r="AJ251" s="8"/>
      <c r="AK251" s="6" t="str">
        <f>'Gen Rev'!A251</f>
        <v>Harrisville</v>
      </c>
      <c r="AL251" s="6" t="str">
        <f t="shared" si="10"/>
        <v>Harrisville</v>
      </c>
      <c r="AM251" s="6" t="b">
        <f t="shared" si="11"/>
        <v>1</v>
      </c>
    </row>
    <row r="252" spans="1:42" s="14" customFormat="1" ht="12" customHeight="1" x14ac:dyDescent="0.2">
      <c r="A252" s="6" t="s">
        <v>4</v>
      </c>
      <c r="B252" s="6"/>
      <c r="C252" s="6" t="s">
        <v>651</v>
      </c>
      <c r="D252" s="6"/>
      <c r="E252" s="49">
        <v>30694</v>
      </c>
      <c r="F252" s="49"/>
      <c r="G252" s="49">
        <v>49486.59</v>
      </c>
      <c r="H252" s="49"/>
      <c r="I252" s="49">
        <v>30699.69</v>
      </c>
      <c r="J252" s="49"/>
      <c r="K252" s="49">
        <v>0</v>
      </c>
      <c r="L252" s="49"/>
      <c r="M252" s="49">
        <v>0</v>
      </c>
      <c r="N252" s="49"/>
      <c r="O252" s="49">
        <v>85</v>
      </c>
      <c r="P252" s="49"/>
      <c r="Q252" s="49">
        <v>38.93</v>
      </c>
      <c r="R252" s="49"/>
      <c r="S252" s="49">
        <v>1665.87</v>
      </c>
      <c r="T252" s="49"/>
      <c r="U252" s="49">
        <v>0</v>
      </c>
      <c r="V252" s="49"/>
      <c r="W252" s="49">
        <v>0</v>
      </c>
      <c r="X252" s="49"/>
      <c r="Y252" s="49">
        <v>0</v>
      </c>
      <c r="Z252" s="49"/>
      <c r="AA252" s="49">
        <v>0</v>
      </c>
      <c r="AB252" s="49"/>
      <c r="AC252" s="49">
        <v>0</v>
      </c>
      <c r="AD252" s="49"/>
      <c r="AE252" s="49">
        <v>0</v>
      </c>
      <c r="AF252" s="49"/>
      <c r="AG252" s="49">
        <v>0</v>
      </c>
      <c r="AH252" s="49"/>
      <c r="AI252" s="49">
        <f t="shared" si="12"/>
        <v>112670.07999999999</v>
      </c>
      <c r="AJ252" s="8"/>
      <c r="AK252" s="6" t="str">
        <f>'Gen Rev'!A252</f>
        <v>Harrod</v>
      </c>
      <c r="AL252" s="6" t="str">
        <f t="shared" si="10"/>
        <v>Harrod</v>
      </c>
      <c r="AM252" s="6" t="b">
        <f t="shared" si="11"/>
        <v>1</v>
      </c>
      <c r="AN252" s="6"/>
      <c r="AO252" s="6"/>
      <c r="AP252" s="6"/>
    </row>
    <row r="253" spans="1:42" ht="12" customHeight="1" x14ac:dyDescent="0.2">
      <c r="A253" s="6" t="s">
        <v>410</v>
      </c>
      <c r="C253" s="6" t="s">
        <v>408</v>
      </c>
      <c r="E253" s="49">
        <v>14617.06</v>
      </c>
      <c r="F253" s="49"/>
      <c r="G253" s="49">
        <v>0</v>
      </c>
      <c r="H253" s="49"/>
      <c r="I253" s="49">
        <v>32053.22</v>
      </c>
      <c r="J253" s="49"/>
      <c r="K253" s="49">
        <v>0</v>
      </c>
      <c r="L253" s="49"/>
      <c r="M253" s="49">
        <v>2327.0100000000002</v>
      </c>
      <c r="N253" s="49"/>
      <c r="O253" s="49">
        <v>3807.95</v>
      </c>
      <c r="P253" s="49"/>
      <c r="Q253" s="49">
        <v>65.16</v>
      </c>
      <c r="R253" s="49"/>
      <c r="S253" s="49">
        <v>1727.44</v>
      </c>
      <c r="T253" s="49"/>
      <c r="U253" s="49">
        <v>0</v>
      </c>
      <c r="V253" s="49"/>
      <c r="W253" s="49">
        <v>0</v>
      </c>
      <c r="X253" s="49"/>
      <c r="Y253" s="49">
        <v>0</v>
      </c>
      <c r="Z253" s="49"/>
      <c r="AA253" s="49">
        <v>0</v>
      </c>
      <c r="AB253" s="49"/>
      <c r="AC253" s="49">
        <v>0</v>
      </c>
      <c r="AD253" s="49"/>
      <c r="AE253" s="49">
        <v>0</v>
      </c>
      <c r="AF253" s="49"/>
      <c r="AG253" s="49">
        <v>0</v>
      </c>
      <c r="AH253" s="49"/>
      <c r="AI253" s="49">
        <f t="shared" si="12"/>
        <v>54597.840000000004</v>
      </c>
      <c r="AJ253" s="8"/>
      <c r="AK253" s="6" t="str">
        <f>'Gen Rev'!A253</f>
        <v>Hartford</v>
      </c>
      <c r="AL253" s="6" t="str">
        <f t="shared" si="10"/>
        <v>Hartford</v>
      </c>
      <c r="AM253" s="6" t="b">
        <f t="shared" si="11"/>
        <v>1</v>
      </c>
    </row>
    <row r="254" spans="1:42" ht="12" customHeight="1" x14ac:dyDescent="0.2">
      <c r="A254" s="6" t="s">
        <v>505</v>
      </c>
      <c r="C254" s="6" t="s">
        <v>502</v>
      </c>
      <c r="E254" s="49">
        <v>395103</v>
      </c>
      <c r="F254" s="49"/>
      <c r="G254" s="49">
        <v>1026377</v>
      </c>
      <c r="H254" s="49"/>
      <c r="I254" s="49">
        <v>490584</v>
      </c>
      <c r="J254" s="49"/>
      <c r="K254" s="49">
        <v>0</v>
      </c>
      <c r="L254" s="49"/>
      <c r="M254" s="49">
        <v>2395</v>
      </c>
      <c r="N254" s="49"/>
      <c r="O254" s="49">
        <v>139548</v>
      </c>
      <c r="P254" s="49"/>
      <c r="Q254" s="49">
        <v>193</v>
      </c>
      <c r="R254" s="49"/>
      <c r="S254" s="49">
        <v>32619</v>
      </c>
      <c r="T254" s="49"/>
      <c r="U254" s="49">
        <v>0</v>
      </c>
      <c r="V254" s="49"/>
      <c r="W254" s="49">
        <v>0</v>
      </c>
      <c r="X254" s="49"/>
      <c r="Y254" s="49">
        <v>0</v>
      </c>
      <c r="Z254" s="49"/>
      <c r="AA254" s="49">
        <v>241000</v>
      </c>
      <c r="AB254" s="49"/>
      <c r="AC254" s="49">
        <v>8996</v>
      </c>
      <c r="AD254" s="49"/>
      <c r="AE254" s="49">
        <v>0</v>
      </c>
      <c r="AF254" s="49"/>
      <c r="AG254" s="49">
        <v>0</v>
      </c>
      <c r="AH254" s="49"/>
      <c r="AI254" s="49">
        <f t="shared" si="12"/>
        <v>2336815</v>
      </c>
      <c r="AJ254" s="8"/>
      <c r="AK254" s="6" t="str">
        <f>'Gen Rev'!A254</f>
        <v>Hartville</v>
      </c>
      <c r="AL254" s="6" t="str">
        <f t="shared" si="10"/>
        <v>Hartville</v>
      </c>
      <c r="AM254" s="6" t="b">
        <f t="shared" si="11"/>
        <v>1</v>
      </c>
    </row>
    <row r="255" spans="1:42" s="14" customFormat="1" ht="12" customHeight="1" x14ac:dyDescent="0.2">
      <c r="A255" s="6" t="s">
        <v>540</v>
      </c>
      <c r="B255" s="6"/>
      <c r="C255" s="6" t="s">
        <v>541</v>
      </c>
      <c r="D255" s="6"/>
      <c r="E255" s="49">
        <v>76765.490000000005</v>
      </c>
      <c r="F255" s="49"/>
      <c r="G255" s="49">
        <v>0</v>
      </c>
      <c r="H255" s="49"/>
      <c r="I255" s="49">
        <v>60470.76</v>
      </c>
      <c r="J255" s="49"/>
      <c r="K255" s="49">
        <v>0</v>
      </c>
      <c r="L255" s="49"/>
      <c r="M255" s="49">
        <v>60325.04</v>
      </c>
      <c r="N255" s="49"/>
      <c r="O255" s="49">
        <v>75628.899999999994</v>
      </c>
      <c r="P255" s="49"/>
      <c r="Q255" s="49">
        <v>241.27</v>
      </c>
      <c r="R255" s="49"/>
      <c r="S255" s="49">
        <v>38585.230000000003</v>
      </c>
      <c r="T255" s="49"/>
      <c r="U255" s="49">
        <v>0</v>
      </c>
      <c r="V255" s="49"/>
      <c r="W255" s="49">
        <v>0</v>
      </c>
      <c r="X255" s="49"/>
      <c r="Y255" s="49">
        <v>0</v>
      </c>
      <c r="Z255" s="49"/>
      <c r="AA255" s="49">
        <v>49000</v>
      </c>
      <c r="AB255" s="49"/>
      <c r="AC255" s="49">
        <v>0</v>
      </c>
      <c r="AD255" s="49"/>
      <c r="AE255" s="49">
        <v>0</v>
      </c>
      <c r="AF255" s="49"/>
      <c r="AG255" s="49">
        <v>0</v>
      </c>
      <c r="AH255" s="49"/>
      <c r="AI255" s="49">
        <f t="shared" si="12"/>
        <v>361016.69</v>
      </c>
      <c r="AJ255" s="8"/>
      <c r="AK255" s="6" t="str">
        <f>'Gen Rev'!A255</f>
        <v>Harveysburg</v>
      </c>
      <c r="AL255" s="6" t="str">
        <f t="shared" si="10"/>
        <v>Harveysburg</v>
      </c>
      <c r="AM255" s="6" t="b">
        <f t="shared" si="11"/>
        <v>1</v>
      </c>
      <c r="AN255" s="6"/>
      <c r="AO255" s="6"/>
      <c r="AP255" s="6"/>
    </row>
    <row r="256" spans="1:42" s="14" customFormat="1" ht="12" customHeight="1" x14ac:dyDescent="0.2">
      <c r="A256" s="6" t="s">
        <v>238</v>
      </c>
      <c r="B256" s="6"/>
      <c r="C256" s="6" t="s">
        <v>558</v>
      </c>
      <c r="D256" s="6"/>
      <c r="E256" s="49">
        <v>168305.28</v>
      </c>
      <c r="F256" s="49"/>
      <c r="G256" s="49">
        <v>180651</v>
      </c>
      <c r="H256" s="49"/>
      <c r="I256" s="49">
        <v>84011.96</v>
      </c>
      <c r="J256" s="49"/>
      <c r="K256" s="49">
        <v>0</v>
      </c>
      <c r="L256" s="49"/>
      <c r="M256" s="49">
        <v>0</v>
      </c>
      <c r="N256" s="49"/>
      <c r="O256" s="49">
        <v>7431.16</v>
      </c>
      <c r="P256" s="49"/>
      <c r="Q256" s="49">
        <v>368.89</v>
      </c>
      <c r="R256" s="49"/>
      <c r="S256" s="49">
        <v>402629.93</v>
      </c>
      <c r="T256" s="49"/>
      <c r="U256" s="49">
        <v>0</v>
      </c>
      <c r="V256" s="49"/>
      <c r="W256" s="49">
        <v>0</v>
      </c>
      <c r="X256" s="49"/>
      <c r="Y256" s="49">
        <v>0</v>
      </c>
      <c r="Z256" s="49"/>
      <c r="AA256" s="49">
        <v>250195.87</v>
      </c>
      <c r="AB256" s="49"/>
      <c r="AC256" s="49">
        <v>0</v>
      </c>
      <c r="AD256" s="49"/>
      <c r="AE256" s="49">
        <v>0</v>
      </c>
      <c r="AF256" s="49"/>
      <c r="AG256" s="49">
        <v>0</v>
      </c>
      <c r="AH256" s="49"/>
      <c r="AI256" s="49">
        <f t="shared" si="12"/>
        <v>1093594.0899999999</v>
      </c>
      <c r="AJ256" s="8"/>
      <c r="AK256" s="6" t="str">
        <f>'Gen Rev'!A256</f>
        <v>Haskins</v>
      </c>
      <c r="AL256" s="6" t="str">
        <f t="shared" si="10"/>
        <v>Haskins</v>
      </c>
      <c r="AM256" s="6" t="b">
        <f t="shared" si="11"/>
        <v>1</v>
      </c>
      <c r="AN256" s="8"/>
      <c r="AO256" s="8"/>
      <c r="AP256" s="8"/>
    </row>
    <row r="257" spans="1:42" ht="12" customHeight="1" x14ac:dyDescent="0.2">
      <c r="A257" s="6" t="s">
        <v>169</v>
      </c>
      <c r="C257" s="6" t="s">
        <v>460</v>
      </c>
      <c r="E257" s="49">
        <v>24811.85</v>
      </c>
      <c r="F257" s="49"/>
      <c r="G257" s="49">
        <v>0</v>
      </c>
      <c r="H257" s="49"/>
      <c r="I257" s="49">
        <v>46408.93</v>
      </c>
      <c r="J257" s="49"/>
      <c r="K257" s="49">
        <v>0</v>
      </c>
      <c r="L257" s="49"/>
      <c r="M257" s="49">
        <v>0</v>
      </c>
      <c r="N257" s="49"/>
      <c r="O257" s="49">
        <v>0</v>
      </c>
      <c r="P257" s="49"/>
      <c r="Q257" s="49">
        <v>246.79</v>
      </c>
      <c r="R257" s="49"/>
      <c r="S257" s="49">
        <v>605</v>
      </c>
      <c r="T257" s="49"/>
      <c r="U257" s="49">
        <v>0</v>
      </c>
      <c r="V257" s="49"/>
      <c r="W257" s="49">
        <v>0</v>
      </c>
      <c r="X257" s="49"/>
      <c r="Y257" s="49">
        <v>0</v>
      </c>
      <c r="Z257" s="49"/>
      <c r="AA257" s="49">
        <v>0</v>
      </c>
      <c r="AB257" s="49"/>
      <c r="AC257" s="49">
        <v>0</v>
      </c>
      <c r="AD257" s="49"/>
      <c r="AE257" s="49">
        <v>0</v>
      </c>
      <c r="AF257" s="49"/>
      <c r="AG257" s="49">
        <v>0</v>
      </c>
      <c r="AH257" s="49"/>
      <c r="AI257" s="49">
        <f t="shared" si="12"/>
        <v>72072.569999999992</v>
      </c>
      <c r="AJ257" s="8"/>
      <c r="AK257" s="6" t="str">
        <f>'Gen Rev'!A257</f>
        <v>Haviland</v>
      </c>
      <c r="AL257" s="6" t="str">
        <f t="shared" si="10"/>
        <v>Haviland</v>
      </c>
      <c r="AM257" s="6" t="b">
        <f t="shared" si="11"/>
        <v>1</v>
      </c>
    </row>
    <row r="258" spans="1:42" ht="12" customHeight="1" x14ac:dyDescent="0.2">
      <c r="A258" s="6" t="s">
        <v>7</v>
      </c>
      <c r="C258" s="6" t="s">
        <v>848</v>
      </c>
      <c r="E258" s="49">
        <v>25397.040000000001</v>
      </c>
      <c r="F258" s="49"/>
      <c r="G258" s="49">
        <v>0</v>
      </c>
      <c r="H258" s="49"/>
      <c r="I258" s="49">
        <v>43553.16</v>
      </c>
      <c r="J258" s="49"/>
      <c r="K258" s="49">
        <v>0</v>
      </c>
      <c r="L258" s="49"/>
      <c r="M258" s="49">
        <v>9372.9699999999993</v>
      </c>
      <c r="N258" s="49"/>
      <c r="O258" s="49">
        <v>136</v>
      </c>
      <c r="P258" s="49"/>
      <c r="Q258" s="49">
        <v>232.67</v>
      </c>
      <c r="R258" s="49"/>
      <c r="S258" s="49">
        <v>919.53</v>
      </c>
      <c r="T258" s="49"/>
      <c r="U258" s="49">
        <v>0</v>
      </c>
      <c r="V258" s="49"/>
      <c r="W258" s="49">
        <v>0</v>
      </c>
      <c r="X258" s="49"/>
      <c r="Y258" s="49">
        <v>0</v>
      </c>
      <c r="Z258" s="49"/>
      <c r="AA258" s="49">
        <v>0</v>
      </c>
      <c r="AB258" s="49"/>
      <c r="AC258" s="49">
        <v>0</v>
      </c>
      <c r="AD258" s="49"/>
      <c r="AE258" s="49">
        <v>0</v>
      </c>
      <c r="AF258" s="49"/>
      <c r="AG258" s="49">
        <v>0</v>
      </c>
      <c r="AH258" s="49"/>
      <c r="AI258" s="49">
        <f t="shared" si="12"/>
        <v>79611.37000000001</v>
      </c>
      <c r="AJ258" s="8"/>
      <c r="AK258" s="6" t="str">
        <f>'Gen Rev'!A258</f>
        <v>Hayesville</v>
      </c>
      <c r="AL258" s="6" t="str">
        <f t="shared" si="10"/>
        <v>Hayesville</v>
      </c>
      <c r="AM258" s="6" t="b">
        <f t="shared" si="11"/>
        <v>1</v>
      </c>
      <c r="AN258" s="13"/>
      <c r="AO258" s="13"/>
      <c r="AP258" s="13"/>
    </row>
    <row r="259" spans="1:42" ht="12" customHeight="1" x14ac:dyDescent="0.2">
      <c r="A259" s="6" t="s">
        <v>411</v>
      </c>
      <c r="C259" s="6" t="s">
        <v>408</v>
      </c>
      <c r="E259" s="49">
        <v>524918.88</v>
      </c>
      <c r="F259" s="49"/>
      <c r="G259" s="49">
        <v>1457627.45</v>
      </c>
      <c r="H259" s="49"/>
      <c r="I259" s="49">
        <v>420653.5</v>
      </c>
      <c r="J259" s="49"/>
      <c r="K259" s="49">
        <v>387970.49</v>
      </c>
      <c r="L259" s="49"/>
      <c r="M259" s="49">
        <v>479170.36</v>
      </c>
      <c r="N259" s="49"/>
      <c r="O259" s="49">
        <v>19834.669999999998</v>
      </c>
      <c r="P259" s="49"/>
      <c r="Q259" s="49">
        <v>11140.94</v>
      </c>
      <c r="R259" s="49"/>
      <c r="S259" s="49">
        <v>48545.69</v>
      </c>
      <c r="T259" s="49"/>
      <c r="U259" s="49">
        <v>1340870.45</v>
      </c>
      <c r="V259" s="49"/>
      <c r="W259" s="49">
        <v>0</v>
      </c>
      <c r="X259" s="49"/>
      <c r="Y259" s="49">
        <v>0</v>
      </c>
      <c r="Z259" s="49"/>
      <c r="AA259" s="49">
        <v>1428254.7</v>
      </c>
      <c r="AB259" s="49"/>
      <c r="AC259" s="49">
        <v>0</v>
      </c>
      <c r="AD259" s="49"/>
      <c r="AE259" s="49">
        <v>0</v>
      </c>
      <c r="AF259" s="49"/>
      <c r="AG259" s="49">
        <v>0</v>
      </c>
      <c r="AH259" s="49"/>
      <c r="AI259" s="49">
        <f t="shared" si="12"/>
        <v>6118987.1299999999</v>
      </c>
      <c r="AJ259" s="8"/>
      <c r="AK259" s="6" t="str">
        <f>'Gen Rev'!A259</f>
        <v>Hebron</v>
      </c>
      <c r="AL259" s="6" t="str">
        <f t="shared" si="10"/>
        <v>Hebron</v>
      </c>
      <c r="AM259" s="6" t="b">
        <f t="shared" si="11"/>
        <v>1</v>
      </c>
    </row>
    <row r="260" spans="1:42" ht="12" customHeight="1" x14ac:dyDescent="0.2">
      <c r="A260" s="6" t="s">
        <v>199</v>
      </c>
      <c r="C260" s="6" t="s">
        <v>487</v>
      </c>
      <c r="E260" s="49">
        <v>20470.57</v>
      </c>
      <c r="F260" s="49"/>
      <c r="G260" s="49">
        <v>0</v>
      </c>
      <c r="H260" s="49"/>
      <c r="I260" s="49">
        <v>20720.77</v>
      </c>
      <c r="J260" s="49"/>
      <c r="K260" s="49">
        <v>0</v>
      </c>
      <c r="L260" s="49"/>
      <c r="M260" s="49">
        <v>15285.5</v>
      </c>
      <c r="N260" s="49"/>
      <c r="O260" s="49">
        <v>0</v>
      </c>
      <c r="P260" s="49"/>
      <c r="Q260" s="49">
        <v>140.05000000000001</v>
      </c>
      <c r="R260" s="49"/>
      <c r="S260" s="49">
        <v>6212.74</v>
      </c>
      <c r="T260" s="49"/>
      <c r="U260" s="49">
        <v>0</v>
      </c>
      <c r="V260" s="49"/>
      <c r="W260" s="49">
        <v>0</v>
      </c>
      <c r="X260" s="49"/>
      <c r="Y260" s="49">
        <v>0</v>
      </c>
      <c r="Z260" s="49"/>
      <c r="AA260" s="49">
        <v>0</v>
      </c>
      <c r="AB260" s="49"/>
      <c r="AC260" s="49">
        <v>0</v>
      </c>
      <c r="AD260" s="49"/>
      <c r="AE260" s="49">
        <v>0</v>
      </c>
      <c r="AF260" s="49"/>
      <c r="AG260" s="49">
        <v>0</v>
      </c>
      <c r="AH260" s="49"/>
      <c r="AI260" s="49">
        <f t="shared" si="12"/>
        <v>62829.63</v>
      </c>
      <c r="AJ260" s="8"/>
      <c r="AK260" s="6" t="str">
        <f>'Gen Rev'!A260</f>
        <v>Helena</v>
      </c>
      <c r="AL260" s="6" t="str">
        <f t="shared" si="10"/>
        <v>Helena</v>
      </c>
      <c r="AM260" s="6" t="b">
        <f t="shared" si="11"/>
        <v>1</v>
      </c>
    </row>
    <row r="261" spans="1:42" ht="12" customHeight="1" x14ac:dyDescent="0.2">
      <c r="A261" s="6" t="s">
        <v>318</v>
      </c>
      <c r="C261" s="6" t="s">
        <v>319</v>
      </c>
      <c r="E261" s="49">
        <v>171702</v>
      </c>
      <c r="F261" s="49"/>
      <c r="G261" s="49">
        <v>1103673</v>
      </c>
      <c r="H261" s="49"/>
      <c r="I261" s="49">
        <v>508740</v>
      </c>
      <c r="J261" s="49"/>
      <c r="K261" s="49">
        <v>97184</v>
      </c>
      <c r="L261" s="49"/>
      <c r="M261" s="49">
        <v>158388</v>
      </c>
      <c r="N261" s="49"/>
      <c r="O261" s="49">
        <v>27139</v>
      </c>
      <c r="P261" s="49"/>
      <c r="Q261" s="49">
        <v>22754</v>
      </c>
      <c r="R261" s="49"/>
      <c r="S261" s="49">
        <f>36769+1900+22605+18845+50500</f>
        <v>130619</v>
      </c>
      <c r="T261" s="49"/>
      <c r="U261" s="49">
        <v>208445</v>
      </c>
      <c r="V261" s="49"/>
      <c r="W261" s="49">
        <v>0</v>
      </c>
      <c r="X261" s="49"/>
      <c r="Y261" s="49">
        <v>0</v>
      </c>
      <c r="Z261" s="49"/>
      <c r="AA261" s="49">
        <v>440000</v>
      </c>
      <c r="AB261" s="49"/>
      <c r="AC261" s="49">
        <v>0</v>
      </c>
      <c r="AD261" s="49"/>
      <c r="AE261" s="49">
        <v>0</v>
      </c>
      <c r="AF261" s="49"/>
      <c r="AG261" s="49">
        <v>0</v>
      </c>
      <c r="AH261" s="49"/>
      <c r="AI261" s="49">
        <f t="shared" si="12"/>
        <v>2868644</v>
      </c>
      <c r="AJ261" s="8"/>
      <c r="AK261" s="6" t="str">
        <f>'Gen Rev'!A261</f>
        <v>Hicksville</v>
      </c>
      <c r="AL261" s="6" t="str">
        <f t="shared" si="10"/>
        <v>Hicksville</v>
      </c>
      <c r="AM261" s="6" t="b">
        <f t="shared" si="11"/>
        <v>1</v>
      </c>
    </row>
    <row r="262" spans="1:42" x14ac:dyDescent="0.2">
      <c r="A262" s="6" t="s">
        <v>831</v>
      </c>
      <c r="C262" s="6" t="s">
        <v>685</v>
      </c>
      <c r="E262" s="49">
        <v>26773</v>
      </c>
      <c r="F262" s="49"/>
      <c r="G262" s="49">
        <v>0</v>
      </c>
      <c r="H262" s="49"/>
      <c r="I262" s="49">
        <v>40745</v>
      </c>
      <c r="J262" s="49"/>
      <c r="K262" s="49">
        <v>0</v>
      </c>
      <c r="L262" s="49"/>
      <c r="M262" s="49">
        <v>31140</v>
      </c>
      <c r="N262" s="49"/>
      <c r="O262" s="49">
        <v>1137</v>
      </c>
      <c r="P262" s="49"/>
      <c r="Q262" s="49">
        <v>0</v>
      </c>
      <c r="R262" s="49"/>
      <c r="S262" s="49">
        <v>21512</v>
      </c>
      <c r="T262" s="49"/>
      <c r="U262" s="49">
        <v>0</v>
      </c>
      <c r="V262" s="49"/>
      <c r="W262" s="49">
        <v>0</v>
      </c>
      <c r="X262" s="49"/>
      <c r="Y262" s="49">
        <v>0</v>
      </c>
      <c r="Z262" s="49"/>
      <c r="AA262" s="49">
        <v>0</v>
      </c>
      <c r="AB262" s="49"/>
      <c r="AC262" s="49">
        <v>0</v>
      </c>
      <c r="AD262" s="49"/>
      <c r="AE262" s="49">
        <v>0</v>
      </c>
      <c r="AF262" s="49"/>
      <c r="AG262" s="49">
        <v>0</v>
      </c>
      <c r="AH262" s="49"/>
      <c r="AI262" s="49">
        <f t="shared" si="12"/>
        <v>121307</v>
      </c>
      <c r="AK262" s="6" t="str">
        <f>'Gen Rev'!A262</f>
        <v>Higginsport</v>
      </c>
      <c r="AL262" s="6" t="str">
        <f t="shared" si="10"/>
        <v>Higginsport</v>
      </c>
      <c r="AM262" s="6" t="b">
        <f t="shared" si="11"/>
        <v>1</v>
      </c>
    </row>
    <row r="263" spans="1:42" x14ac:dyDescent="0.2">
      <c r="A263" s="6" t="s">
        <v>379</v>
      </c>
      <c r="C263" s="6" t="s">
        <v>379</v>
      </c>
      <c r="E263" s="49">
        <v>18518</v>
      </c>
      <c r="F263" s="49"/>
      <c r="G263" s="49">
        <v>0</v>
      </c>
      <c r="H263" s="49"/>
      <c r="I263" s="49">
        <v>0</v>
      </c>
      <c r="J263" s="49"/>
      <c r="K263" s="49">
        <v>0</v>
      </c>
      <c r="L263" s="49"/>
      <c r="M263" s="49">
        <v>0</v>
      </c>
      <c r="N263" s="49"/>
      <c r="O263" s="49">
        <v>60</v>
      </c>
      <c r="P263" s="49"/>
      <c r="Q263" s="49">
        <v>26</v>
      </c>
      <c r="R263" s="49"/>
      <c r="S263" s="49">
        <v>21689</v>
      </c>
      <c r="T263" s="49"/>
      <c r="U263" s="49">
        <v>0</v>
      </c>
      <c r="V263" s="49"/>
      <c r="W263" s="49">
        <v>0</v>
      </c>
      <c r="X263" s="49"/>
      <c r="Y263" s="49">
        <v>0</v>
      </c>
      <c r="Z263" s="49"/>
      <c r="AA263" s="49">
        <v>0</v>
      </c>
      <c r="AB263" s="49"/>
      <c r="AC263" s="49">
        <v>0</v>
      </c>
      <c r="AD263" s="49"/>
      <c r="AE263" s="49">
        <v>0</v>
      </c>
      <c r="AF263" s="49"/>
      <c r="AG263" s="49">
        <v>0</v>
      </c>
      <c r="AH263" s="49"/>
      <c r="AI263" s="49">
        <f t="shared" si="12"/>
        <v>40293</v>
      </c>
      <c r="AK263" s="6" t="str">
        <f>'Gen Rev'!A263</f>
        <v>Highland</v>
      </c>
      <c r="AL263" s="6" t="str">
        <f t="shared" si="10"/>
        <v>Highland</v>
      </c>
      <c r="AM263" s="6" t="b">
        <f t="shared" si="11"/>
        <v>1</v>
      </c>
    </row>
    <row r="264" spans="1:42" x14ac:dyDescent="0.2">
      <c r="A264" s="6" t="s">
        <v>821</v>
      </c>
      <c r="C264" s="6" t="s">
        <v>293</v>
      </c>
      <c r="E264" s="49">
        <v>280564</v>
      </c>
      <c r="F264" s="49"/>
      <c r="G264" s="49">
        <v>3466290</v>
      </c>
      <c r="H264" s="49"/>
      <c r="I264" s="49">
        <v>126712</v>
      </c>
      <c r="J264" s="49"/>
      <c r="K264" s="49">
        <v>42740</v>
      </c>
      <c r="L264" s="49"/>
      <c r="M264" s="49">
        <v>50536</v>
      </c>
      <c r="N264" s="49"/>
      <c r="O264" s="49">
        <v>186602</v>
      </c>
      <c r="P264" s="49"/>
      <c r="Q264" s="49">
        <v>48</v>
      </c>
      <c r="R264" s="49"/>
      <c r="S264" s="49">
        <v>18269</v>
      </c>
      <c r="T264" s="49"/>
      <c r="U264" s="49">
        <v>1725000</v>
      </c>
      <c r="V264" s="49"/>
      <c r="W264" s="49">
        <v>0</v>
      </c>
      <c r="X264" s="49"/>
      <c r="Y264" s="49">
        <v>8530</v>
      </c>
      <c r="Z264" s="49"/>
      <c r="AA264" s="49">
        <v>1430970</v>
      </c>
      <c r="AB264" s="49"/>
      <c r="AC264" s="49">
        <v>0</v>
      </c>
      <c r="AD264" s="49"/>
      <c r="AE264" s="49">
        <v>0</v>
      </c>
      <c r="AF264" s="49"/>
      <c r="AG264" s="49">
        <v>0</v>
      </c>
      <c r="AH264" s="49"/>
      <c r="AI264" s="49">
        <f t="shared" si="12"/>
        <v>7336261</v>
      </c>
      <c r="AK264" s="6" t="str">
        <f>'Gen Rev'!A264</f>
        <v>Highland Hills</v>
      </c>
      <c r="AL264" s="6" t="str">
        <f t="shared" si="10"/>
        <v>Highland Hills</v>
      </c>
      <c r="AM264" s="6" t="b">
        <f t="shared" si="11"/>
        <v>1</v>
      </c>
    </row>
    <row r="265" spans="1:42" x14ac:dyDescent="0.2">
      <c r="A265" s="6" t="s">
        <v>210</v>
      </c>
      <c r="C265" s="6" t="s">
        <v>502</v>
      </c>
      <c r="E265" s="49">
        <v>306599.5</v>
      </c>
      <c r="F265" s="49"/>
      <c r="G265" s="49">
        <v>0</v>
      </c>
      <c r="H265" s="49"/>
      <c r="I265" s="49">
        <v>94798.27</v>
      </c>
      <c r="J265" s="49"/>
      <c r="K265" s="49">
        <v>0</v>
      </c>
      <c r="L265" s="49"/>
      <c r="M265" s="49">
        <v>20780</v>
      </c>
      <c r="N265" s="49"/>
      <c r="O265" s="49">
        <v>25</v>
      </c>
      <c r="P265" s="49"/>
      <c r="Q265" s="49">
        <v>3951.38</v>
      </c>
      <c r="R265" s="49"/>
      <c r="S265" s="49">
        <v>27797.4</v>
      </c>
      <c r="T265" s="49"/>
      <c r="U265" s="49">
        <v>0</v>
      </c>
      <c r="V265" s="49"/>
      <c r="W265" s="49">
        <v>0</v>
      </c>
      <c r="X265" s="49"/>
      <c r="Y265" s="49">
        <v>0</v>
      </c>
      <c r="Z265" s="49"/>
      <c r="AA265" s="49">
        <v>0</v>
      </c>
      <c r="AB265" s="49"/>
      <c r="AC265" s="49">
        <v>0</v>
      </c>
      <c r="AD265" s="49"/>
      <c r="AE265" s="49">
        <v>0</v>
      </c>
      <c r="AF265" s="49"/>
      <c r="AG265" s="49">
        <v>0</v>
      </c>
      <c r="AH265" s="49"/>
      <c r="AI265" s="49">
        <f t="shared" si="12"/>
        <v>453951.55000000005</v>
      </c>
      <c r="AK265" s="6" t="str">
        <f>'Gen Rev'!A265</f>
        <v>Hills And Dales</v>
      </c>
      <c r="AL265" s="6" t="str">
        <f t="shared" si="10"/>
        <v>Hills And Dales</v>
      </c>
      <c r="AM265" s="6" t="b">
        <f t="shared" si="11"/>
        <v>1</v>
      </c>
    </row>
    <row r="266" spans="1:42" x14ac:dyDescent="0.2">
      <c r="A266" s="6" t="s">
        <v>179</v>
      </c>
      <c r="C266" s="6" t="s">
        <v>241</v>
      </c>
      <c r="E266" s="49">
        <v>75116.87</v>
      </c>
      <c r="F266" s="49"/>
      <c r="G266" s="49">
        <v>421880.01</v>
      </c>
      <c r="H266" s="49"/>
      <c r="I266" s="49">
        <v>114806.42</v>
      </c>
      <c r="J266" s="49"/>
      <c r="K266" s="49">
        <v>0</v>
      </c>
      <c r="L266" s="49"/>
      <c r="M266" s="49">
        <v>360030.48</v>
      </c>
      <c r="N266" s="49"/>
      <c r="O266" s="49">
        <v>41126.33</v>
      </c>
      <c r="P266" s="49"/>
      <c r="Q266" s="49">
        <v>29145.4</v>
      </c>
      <c r="R266" s="49"/>
      <c r="S266" s="49">
        <v>54784.07</v>
      </c>
      <c r="T266" s="49"/>
      <c r="U266" s="49">
        <v>0</v>
      </c>
      <c r="V266" s="49"/>
      <c r="W266" s="49">
        <v>0</v>
      </c>
      <c r="X266" s="49"/>
      <c r="Y266" s="49">
        <v>0</v>
      </c>
      <c r="Z266" s="49"/>
      <c r="AA266" s="49">
        <v>56210.86</v>
      </c>
      <c r="AB266" s="49"/>
      <c r="AC266" s="49">
        <v>69334.399999999994</v>
      </c>
      <c r="AD266" s="49"/>
      <c r="AE266" s="49">
        <v>2802.99</v>
      </c>
      <c r="AF266" s="49"/>
      <c r="AG266" s="49">
        <v>0</v>
      </c>
      <c r="AH266" s="49"/>
      <c r="AI266" s="49">
        <f t="shared" si="12"/>
        <v>1225237.83</v>
      </c>
      <c r="AK266" s="6" t="str">
        <f>'Gen Rev'!A266</f>
        <v>Hiram</v>
      </c>
      <c r="AL266" s="6" t="str">
        <f t="shared" si="10"/>
        <v>Hiram</v>
      </c>
      <c r="AM266" s="6" t="b">
        <f t="shared" si="11"/>
        <v>1</v>
      </c>
    </row>
    <row r="267" spans="1:42" x14ac:dyDescent="0.2">
      <c r="A267" s="6" t="s">
        <v>378</v>
      </c>
      <c r="C267" s="6" t="s">
        <v>377</v>
      </c>
      <c r="E267" s="49">
        <v>45959</v>
      </c>
      <c r="F267" s="49"/>
      <c r="G267" s="49">
        <v>224519</v>
      </c>
      <c r="H267" s="49"/>
      <c r="I267" s="49">
        <v>89998</v>
      </c>
      <c r="J267" s="49"/>
      <c r="K267" s="49">
        <v>0</v>
      </c>
      <c r="L267" s="49"/>
      <c r="M267" s="49">
        <v>3756</v>
      </c>
      <c r="N267" s="49"/>
      <c r="O267" s="49">
        <v>1151</v>
      </c>
      <c r="P267" s="49"/>
      <c r="Q267" s="49">
        <v>1557</v>
      </c>
      <c r="R267" s="49"/>
      <c r="S267" s="49">
        <v>40849</v>
      </c>
      <c r="T267" s="49"/>
      <c r="U267" s="49">
        <v>0</v>
      </c>
      <c r="V267" s="49"/>
      <c r="W267" s="49">
        <v>0</v>
      </c>
      <c r="X267" s="49"/>
      <c r="Y267" s="49">
        <v>0</v>
      </c>
      <c r="Z267" s="49"/>
      <c r="AA267" s="49">
        <v>0</v>
      </c>
      <c r="AB267" s="49"/>
      <c r="AC267" s="49">
        <v>0</v>
      </c>
      <c r="AD267" s="49"/>
      <c r="AE267" s="49">
        <v>0</v>
      </c>
      <c r="AF267" s="49"/>
      <c r="AG267" s="49">
        <v>0</v>
      </c>
      <c r="AH267" s="49"/>
      <c r="AI267" s="49">
        <f t="shared" si="12"/>
        <v>407789</v>
      </c>
      <c r="AK267" s="6" t="str">
        <f>'Gen Rev'!A267</f>
        <v>Holgate</v>
      </c>
      <c r="AL267" s="6" t="str">
        <f t="shared" si="10"/>
        <v>Holgate</v>
      </c>
      <c r="AM267" s="6" t="b">
        <f t="shared" si="11"/>
        <v>1</v>
      </c>
    </row>
    <row r="268" spans="1:42" x14ac:dyDescent="0.2">
      <c r="A268" s="6" t="s">
        <v>249</v>
      </c>
      <c r="C268" s="6" t="s">
        <v>554</v>
      </c>
      <c r="E268" s="49">
        <v>388738.13</v>
      </c>
      <c r="F268" s="49"/>
      <c r="G268" s="49">
        <v>0</v>
      </c>
      <c r="H268" s="49"/>
      <c r="I268" s="49">
        <v>22035.119999999999</v>
      </c>
      <c r="J268" s="49"/>
      <c r="K268" s="49">
        <v>0</v>
      </c>
      <c r="L268" s="49"/>
      <c r="M268" s="49">
        <v>600</v>
      </c>
      <c r="N268" s="49"/>
      <c r="O268" s="49">
        <v>0</v>
      </c>
      <c r="P268" s="49"/>
      <c r="Q268" s="49">
        <v>2631.26</v>
      </c>
      <c r="R268" s="49"/>
      <c r="S268" s="49">
        <v>77909.679999999993</v>
      </c>
      <c r="T268" s="49"/>
      <c r="U268" s="49">
        <v>0</v>
      </c>
      <c r="V268" s="49"/>
      <c r="W268" s="49">
        <v>0</v>
      </c>
      <c r="X268" s="49"/>
      <c r="Y268" s="49">
        <v>0</v>
      </c>
      <c r="Z268" s="49"/>
      <c r="AA268" s="49">
        <v>149947.57999999999</v>
      </c>
      <c r="AB268" s="49"/>
      <c r="AC268" s="49">
        <v>0</v>
      </c>
      <c r="AD268" s="49"/>
      <c r="AE268" s="49">
        <v>0</v>
      </c>
      <c r="AF268" s="49"/>
      <c r="AG268" s="49">
        <v>0</v>
      </c>
      <c r="AH268" s="49"/>
      <c r="AI268" s="49">
        <f t="shared" si="12"/>
        <v>641861.77</v>
      </c>
      <c r="AK268" s="6" t="str">
        <f>'Gen Rev'!A268</f>
        <v>Holiday City</v>
      </c>
      <c r="AL268" s="6" t="str">
        <f t="shared" si="10"/>
        <v>Holiday City</v>
      </c>
      <c r="AM268" s="6" t="b">
        <f t="shared" si="11"/>
        <v>1</v>
      </c>
    </row>
    <row r="269" spans="1:42" x14ac:dyDescent="0.2">
      <c r="A269" s="6" t="s">
        <v>422</v>
      </c>
      <c r="C269" s="6" t="s">
        <v>423</v>
      </c>
      <c r="E269" s="49">
        <v>40439</v>
      </c>
      <c r="F269" s="49"/>
      <c r="G269" s="49">
        <v>3249675</v>
      </c>
      <c r="H269" s="49"/>
      <c r="I269" s="49">
        <v>320421</v>
      </c>
      <c r="J269" s="49"/>
      <c r="K269" s="49">
        <v>7774</v>
      </c>
      <c r="L269" s="49"/>
      <c r="M269" s="49">
        <v>94246</v>
      </c>
      <c r="N269" s="49"/>
      <c r="O269" s="49">
        <v>17066</v>
      </c>
      <c r="P269" s="49"/>
      <c r="Q269" s="49">
        <v>41754</v>
      </c>
      <c r="R269" s="49"/>
      <c r="S269" s="49">
        <v>197264</v>
      </c>
      <c r="T269" s="49"/>
      <c r="U269" s="49">
        <v>0</v>
      </c>
      <c r="V269" s="49"/>
      <c r="W269" s="49">
        <v>0</v>
      </c>
      <c r="X269" s="49"/>
      <c r="Y269" s="49">
        <v>0</v>
      </c>
      <c r="Z269" s="49"/>
      <c r="AA269" s="49">
        <v>695304</v>
      </c>
      <c r="AB269" s="49"/>
      <c r="AC269" s="49">
        <v>0</v>
      </c>
      <c r="AD269" s="49"/>
      <c r="AE269" s="49">
        <v>0</v>
      </c>
      <c r="AF269" s="49"/>
      <c r="AG269" s="49">
        <v>0</v>
      </c>
      <c r="AH269" s="49"/>
      <c r="AI269" s="49">
        <f t="shared" si="12"/>
        <v>4663943</v>
      </c>
      <c r="AK269" s="6" t="str">
        <f>'Gen Rev'!A269</f>
        <v>Holland</v>
      </c>
      <c r="AL269" s="6" t="str">
        <f t="shared" si="10"/>
        <v>Holland</v>
      </c>
      <c r="AM269" s="6" t="b">
        <f t="shared" si="11"/>
        <v>1</v>
      </c>
    </row>
    <row r="270" spans="1:42" x14ac:dyDescent="0.2">
      <c r="A270" s="6" t="s">
        <v>309</v>
      </c>
      <c r="C270" s="6" t="s">
        <v>306</v>
      </c>
      <c r="E270" s="49">
        <v>12880</v>
      </c>
      <c r="F270" s="49"/>
      <c r="G270" s="49">
        <v>0</v>
      </c>
      <c r="H270" s="49"/>
      <c r="I270" s="49">
        <f>22701+11088</f>
        <v>33789</v>
      </c>
      <c r="J270" s="49"/>
      <c r="K270" s="49">
        <v>0</v>
      </c>
      <c r="L270" s="49"/>
      <c r="M270" s="49">
        <v>0</v>
      </c>
      <c r="N270" s="49"/>
      <c r="O270" s="49">
        <v>2276</v>
      </c>
      <c r="P270" s="49"/>
      <c r="Q270" s="49">
        <v>2</v>
      </c>
      <c r="R270" s="49"/>
      <c r="S270" s="49">
        <f>19198+1354</f>
        <v>20552</v>
      </c>
      <c r="T270" s="49"/>
      <c r="U270" s="49">
        <v>0</v>
      </c>
      <c r="V270" s="49"/>
      <c r="W270" s="49">
        <v>0</v>
      </c>
      <c r="X270" s="49"/>
      <c r="Y270" s="49">
        <v>0</v>
      </c>
      <c r="Z270" s="49"/>
      <c r="AA270" s="49">
        <v>0</v>
      </c>
      <c r="AB270" s="49"/>
      <c r="AC270" s="49">
        <v>0</v>
      </c>
      <c r="AD270" s="49"/>
      <c r="AE270" s="49">
        <v>0</v>
      </c>
      <c r="AF270" s="49"/>
      <c r="AG270" s="49">
        <v>0</v>
      </c>
      <c r="AH270" s="49"/>
      <c r="AI270" s="49">
        <f t="shared" si="12"/>
        <v>69499</v>
      </c>
      <c r="AK270" s="6" t="str">
        <f>'Gen Rev'!A270</f>
        <v>Hollansburg</v>
      </c>
      <c r="AL270" s="6" t="str">
        <f t="shared" si="10"/>
        <v>Hollansburg</v>
      </c>
      <c r="AM270" s="6" t="b">
        <f t="shared" si="11"/>
        <v>1</v>
      </c>
    </row>
    <row r="271" spans="1:42" x14ac:dyDescent="0.2">
      <c r="A271" s="6" t="s">
        <v>17</v>
      </c>
      <c r="C271" s="6" t="s">
        <v>261</v>
      </c>
      <c r="E271" s="49">
        <v>38834.639999999999</v>
      </c>
      <c r="F271" s="49"/>
      <c r="G271" s="49">
        <v>0</v>
      </c>
      <c r="H271" s="49"/>
      <c r="I271" s="49">
        <v>32294.17</v>
      </c>
      <c r="J271" s="49"/>
      <c r="K271" s="49">
        <v>6550.89</v>
      </c>
      <c r="L271" s="49"/>
      <c r="M271" s="49">
        <v>0</v>
      </c>
      <c r="N271" s="49"/>
      <c r="O271" s="49">
        <v>14</v>
      </c>
      <c r="P271" s="49"/>
      <c r="Q271" s="49">
        <v>603.41</v>
      </c>
      <c r="R271" s="49"/>
      <c r="S271" s="49">
        <v>350.39</v>
      </c>
      <c r="T271" s="49"/>
      <c r="U271" s="49">
        <v>0</v>
      </c>
      <c r="V271" s="49"/>
      <c r="W271" s="49">
        <v>0</v>
      </c>
      <c r="X271" s="49"/>
      <c r="Y271" s="49">
        <v>0</v>
      </c>
      <c r="Z271" s="49"/>
      <c r="AA271" s="49">
        <v>0</v>
      </c>
      <c r="AB271" s="49"/>
      <c r="AC271" s="49">
        <v>2800</v>
      </c>
      <c r="AD271" s="49"/>
      <c r="AE271" s="49">
        <v>6544.56</v>
      </c>
      <c r="AF271" s="49"/>
      <c r="AG271" s="49">
        <v>0</v>
      </c>
      <c r="AH271" s="49"/>
      <c r="AI271" s="49">
        <f t="shared" si="12"/>
        <v>87992.06</v>
      </c>
      <c r="AK271" s="6" t="str">
        <f>'Gen Rev'!A271</f>
        <v>Holloway</v>
      </c>
      <c r="AL271" s="6" t="str">
        <f t="shared" si="10"/>
        <v>Holloway</v>
      </c>
      <c r="AM271" s="6" t="b">
        <f t="shared" si="11"/>
        <v>1</v>
      </c>
    </row>
    <row r="272" spans="1:42" x14ac:dyDescent="0.2">
      <c r="A272" s="6" t="s">
        <v>383</v>
      </c>
      <c r="C272" s="6" t="s">
        <v>382</v>
      </c>
      <c r="E272" s="49">
        <v>20909.169999999998</v>
      </c>
      <c r="F272" s="49"/>
      <c r="G272" s="49">
        <v>0</v>
      </c>
      <c r="H272" s="49"/>
      <c r="I272" s="49">
        <v>43471.16</v>
      </c>
      <c r="J272" s="49"/>
      <c r="K272" s="49">
        <v>0</v>
      </c>
      <c r="L272" s="49"/>
      <c r="M272" s="49">
        <v>0</v>
      </c>
      <c r="N272" s="49"/>
      <c r="O272" s="49">
        <v>0</v>
      </c>
      <c r="P272" s="49"/>
      <c r="Q272" s="49">
        <v>76.569999999999993</v>
      </c>
      <c r="R272" s="49"/>
      <c r="S272" s="49">
        <v>0</v>
      </c>
      <c r="T272" s="49"/>
      <c r="U272" s="49">
        <v>0</v>
      </c>
      <c r="V272" s="49"/>
      <c r="W272" s="49">
        <v>0</v>
      </c>
      <c r="X272" s="49"/>
      <c r="Y272" s="49">
        <v>0</v>
      </c>
      <c r="Z272" s="49"/>
      <c r="AA272" s="49">
        <v>3388.4</v>
      </c>
      <c r="AB272" s="49"/>
      <c r="AC272" s="49">
        <v>0</v>
      </c>
      <c r="AD272" s="49"/>
      <c r="AE272" s="49">
        <v>0</v>
      </c>
      <c r="AF272" s="49"/>
      <c r="AG272" s="49">
        <v>0</v>
      </c>
      <c r="AH272" s="49"/>
      <c r="AI272" s="49">
        <f t="shared" si="12"/>
        <v>67845.3</v>
      </c>
      <c r="AK272" s="6" t="str">
        <f>'Gen Rev'!A272</f>
        <v>Holmesville</v>
      </c>
      <c r="AL272" s="6" t="str">
        <f t="shared" si="10"/>
        <v>Holmesville</v>
      </c>
      <c r="AM272" s="6" t="b">
        <f t="shared" si="11"/>
        <v>1</v>
      </c>
    </row>
    <row r="273" spans="1:39" x14ac:dyDescent="0.2">
      <c r="A273" s="6" t="s">
        <v>96</v>
      </c>
      <c r="C273" s="6" t="s">
        <v>373</v>
      </c>
      <c r="E273" s="49">
        <v>58848.38</v>
      </c>
      <c r="F273" s="49"/>
      <c r="G273" s="49">
        <v>134586.98000000001</v>
      </c>
      <c r="H273" s="49"/>
      <c r="I273" s="49">
        <v>65804.22</v>
      </c>
      <c r="J273" s="49"/>
      <c r="K273" s="49">
        <v>0</v>
      </c>
      <c r="L273" s="49"/>
      <c r="M273" s="49">
        <v>0</v>
      </c>
      <c r="N273" s="49"/>
      <c r="O273" s="49">
        <v>5791.5</v>
      </c>
      <c r="P273" s="49"/>
      <c r="Q273" s="49">
        <v>217.1</v>
      </c>
      <c r="R273" s="49"/>
      <c r="S273" s="49">
        <v>17574.490000000002</v>
      </c>
      <c r="T273" s="49"/>
      <c r="U273" s="49">
        <v>0</v>
      </c>
      <c r="V273" s="49"/>
      <c r="W273" s="49">
        <v>0</v>
      </c>
      <c r="X273" s="49"/>
      <c r="Y273" s="49">
        <v>0</v>
      </c>
      <c r="Z273" s="49"/>
      <c r="AA273" s="49">
        <v>10000</v>
      </c>
      <c r="AB273" s="49"/>
      <c r="AC273" s="49">
        <v>0</v>
      </c>
      <c r="AD273" s="49"/>
      <c r="AE273" s="49">
        <v>0</v>
      </c>
      <c r="AF273" s="49"/>
      <c r="AG273" s="49">
        <v>0</v>
      </c>
      <c r="AH273" s="49"/>
      <c r="AI273" s="49">
        <f t="shared" si="12"/>
        <v>292822.67</v>
      </c>
      <c r="AK273" s="6" t="str">
        <f>'Gen Rev'!A273</f>
        <v>Hopedale</v>
      </c>
      <c r="AL273" s="6" t="str">
        <f t="shared" si="10"/>
        <v>Hopedale</v>
      </c>
      <c r="AM273" s="6" t="b">
        <f t="shared" si="11"/>
        <v>1</v>
      </c>
    </row>
    <row r="274" spans="1:39" x14ac:dyDescent="0.2"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9" ht="12.75" x14ac:dyDescent="0.2"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88" t="s">
        <v>733</v>
      </c>
    </row>
    <row r="276" spans="1:39" x14ac:dyDescent="0.2"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9" x14ac:dyDescent="0.2">
      <c r="A277" s="6" t="s">
        <v>239</v>
      </c>
      <c r="C277" s="6" t="s">
        <v>558</v>
      </c>
      <c r="E277" s="52">
        <v>16096.19</v>
      </c>
      <c r="F277" s="52"/>
      <c r="G277" s="52">
        <v>0</v>
      </c>
      <c r="H277" s="52"/>
      <c r="I277" s="52">
        <v>38364.44</v>
      </c>
      <c r="J277" s="52"/>
      <c r="K277" s="52">
        <v>0</v>
      </c>
      <c r="L277" s="52"/>
      <c r="M277" s="52">
        <v>8209.99</v>
      </c>
      <c r="N277" s="52"/>
      <c r="O277" s="52">
        <v>0</v>
      </c>
      <c r="P277" s="52"/>
      <c r="Q277" s="52">
        <v>87.27</v>
      </c>
      <c r="R277" s="52"/>
      <c r="S277" s="52">
        <v>0</v>
      </c>
      <c r="T277" s="52"/>
      <c r="U277" s="52">
        <v>0</v>
      </c>
      <c r="V277" s="52"/>
      <c r="W277" s="52">
        <v>0</v>
      </c>
      <c r="X277" s="52"/>
      <c r="Y277" s="52">
        <v>0</v>
      </c>
      <c r="Z277" s="52"/>
      <c r="AA277" s="52">
        <v>0</v>
      </c>
      <c r="AB277" s="52"/>
      <c r="AC277" s="52">
        <v>0</v>
      </c>
      <c r="AD277" s="52"/>
      <c r="AE277" s="52">
        <v>0</v>
      </c>
      <c r="AF277" s="52"/>
      <c r="AG277" s="52">
        <v>0</v>
      </c>
      <c r="AH277" s="49"/>
      <c r="AI277" s="52">
        <f t="shared" si="12"/>
        <v>62757.89</v>
      </c>
      <c r="AK277" s="6" t="str">
        <f>'Gen Rev'!A277</f>
        <v>Hoytville</v>
      </c>
      <c r="AL277" s="6" t="str">
        <f t="shared" ref="AL277:AL340" si="13">A277</f>
        <v>Hoytville</v>
      </c>
      <c r="AM277" s="6" t="b">
        <f t="shared" ref="AM277:AM340" si="14">AK277=AL277</f>
        <v>1</v>
      </c>
    </row>
    <row r="278" spans="1:39" x14ac:dyDescent="0.2">
      <c r="A278" s="6" t="s">
        <v>298</v>
      </c>
      <c r="C278" s="6" t="s">
        <v>293</v>
      </c>
      <c r="E278" s="49">
        <v>675444</v>
      </c>
      <c r="F278" s="49"/>
      <c r="G278" s="49">
        <v>0</v>
      </c>
      <c r="H278" s="49"/>
      <c r="I278" s="49">
        <v>1719415</v>
      </c>
      <c r="J278" s="49"/>
      <c r="K278" s="49">
        <v>0</v>
      </c>
      <c r="L278" s="49"/>
      <c r="M278" s="49">
        <v>60033</v>
      </c>
      <c r="N278" s="49"/>
      <c r="O278" s="49">
        <v>129289</v>
      </c>
      <c r="P278" s="49"/>
      <c r="Q278" s="49">
        <v>255545</v>
      </c>
      <c r="R278" s="49"/>
      <c r="S278" s="49">
        <v>394615</v>
      </c>
      <c r="T278" s="49"/>
      <c r="U278" s="49">
        <v>0</v>
      </c>
      <c r="V278" s="49"/>
      <c r="W278" s="49">
        <v>93355</v>
      </c>
      <c r="X278" s="49"/>
      <c r="Y278" s="49">
        <v>0</v>
      </c>
      <c r="Z278" s="49"/>
      <c r="AA278" s="49">
        <v>3596123</v>
      </c>
      <c r="AB278" s="49"/>
      <c r="AC278" s="49">
        <v>0</v>
      </c>
      <c r="AD278" s="49"/>
      <c r="AE278" s="49">
        <v>0</v>
      </c>
      <c r="AF278" s="49"/>
      <c r="AG278" s="49">
        <v>0</v>
      </c>
      <c r="AH278" s="49"/>
      <c r="AI278" s="49">
        <f t="shared" si="12"/>
        <v>6923819</v>
      </c>
      <c r="AK278" s="6" t="str">
        <f>'Gen Rev'!A278</f>
        <v>Hunting Valley</v>
      </c>
      <c r="AL278" s="6" t="str">
        <f t="shared" si="13"/>
        <v>Hunting Valley</v>
      </c>
      <c r="AM278" s="6" t="b">
        <f t="shared" si="14"/>
        <v>1</v>
      </c>
    </row>
    <row r="279" spans="1:39" x14ac:dyDescent="0.2">
      <c r="A279" s="6" t="s">
        <v>124</v>
      </c>
      <c r="C279" s="6" t="s">
        <v>414</v>
      </c>
      <c r="E279" s="49">
        <v>9888.52</v>
      </c>
      <c r="F279" s="49"/>
      <c r="G279" s="49">
        <v>57087.16</v>
      </c>
      <c r="H279" s="49"/>
      <c r="I279" s="49">
        <v>43142.98</v>
      </c>
      <c r="J279" s="49"/>
      <c r="K279" s="49">
        <v>0</v>
      </c>
      <c r="L279" s="49"/>
      <c r="M279" s="49">
        <v>78485.78</v>
      </c>
      <c r="N279" s="49"/>
      <c r="O279" s="49">
        <v>2141.5500000000002</v>
      </c>
      <c r="P279" s="49"/>
      <c r="Q279" s="49">
        <v>3082.24</v>
      </c>
      <c r="R279" s="49"/>
      <c r="S279" s="49">
        <v>6654.17</v>
      </c>
      <c r="T279" s="49"/>
      <c r="U279" s="49">
        <v>0</v>
      </c>
      <c r="V279" s="49"/>
      <c r="W279" s="49">
        <v>0</v>
      </c>
      <c r="X279" s="49"/>
      <c r="Y279" s="49">
        <v>0</v>
      </c>
      <c r="Z279" s="49"/>
      <c r="AA279" s="49">
        <v>0</v>
      </c>
      <c r="AB279" s="49"/>
      <c r="AC279" s="49">
        <v>0</v>
      </c>
      <c r="AD279" s="49"/>
      <c r="AE279" s="49">
        <v>0</v>
      </c>
      <c r="AF279" s="49"/>
      <c r="AG279" s="49">
        <v>0</v>
      </c>
      <c r="AH279" s="49"/>
      <c r="AI279" s="49">
        <f t="shared" ref="AI279:AI345" si="15">SUM(E279:AG279)</f>
        <v>200482.4</v>
      </c>
      <c r="AK279" s="6" t="str">
        <f>'Gen Rev'!A279</f>
        <v>Huntsville</v>
      </c>
      <c r="AL279" s="6" t="str">
        <f t="shared" si="13"/>
        <v>Huntsville</v>
      </c>
      <c r="AM279" s="6" t="b">
        <f t="shared" si="14"/>
        <v>1</v>
      </c>
    </row>
    <row r="280" spans="1:39" x14ac:dyDescent="0.2">
      <c r="A280" s="6" t="s">
        <v>112</v>
      </c>
      <c r="C280" s="6" t="s">
        <v>390</v>
      </c>
      <c r="E280" s="49">
        <v>25844.53</v>
      </c>
      <c r="F280" s="49"/>
      <c r="G280" s="49">
        <v>0</v>
      </c>
      <c r="H280" s="49"/>
      <c r="I280" s="49">
        <v>135743.84</v>
      </c>
      <c r="J280" s="49"/>
      <c r="K280" s="49">
        <v>0</v>
      </c>
      <c r="L280" s="49"/>
      <c r="M280" s="49">
        <v>84235.64</v>
      </c>
      <c r="N280" s="49"/>
      <c r="O280" s="49">
        <v>25</v>
      </c>
      <c r="P280" s="49"/>
      <c r="Q280" s="49">
        <v>8.5299999999999994</v>
      </c>
      <c r="R280" s="49"/>
      <c r="S280" s="49">
        <v>12175.25</v>
      </c>
      <c r="T280" s="49"/>
      <c r="U280" s="49">
        <v>0</v>
      </c>
      <c r="V280" s="49"/>
      <c r="W280" s="49">
        <v>0</v>
      </c>
      <c r="X280" s="49"/>
      <c r="Y280" s="49">
        <v>0</v>
      </c>
      <c r="Z280" s="49"/>
      <c r="AA280" s="49">
        <v>0</v>
      </c>
      <c r="AB280" s="49"/>
      <c r="AC280" s="49">
        <v>0</v>
      </c>
      <c r="AD280" s="49"/>
      <c r="AE280" s="49">
        <v>0</v>
      </c>
      <c r="AF280" s="49"/>
      <c r="AG280" s="49">
        <v>0</v>
      </c>
      <c r="AH280" s="49"/>
      <c r="AI280" s="49">
        <f t="shared" si="15"/>
        <v>258032.79</v>
      </c>
      <c r="AK280" s="6" t="str">
        <f>'Gen Rev'!A280</f>
        <v>Irondale</v>
      </c>
      <c r="AL280" s="6" t="str">
        <f t="shared" si="13"/>
        <v>Irondale</v>
      </c>
      <c r="AM280" s="6" t="b">
        <f t="shared" si="14"/>
        <v>1</v>
      </c>
    </row>
    <row r="281" spans="1:39" x14ac:dyDescent="0.2">
      <c r="A281" s="6" t="s">
        <v>637</v>
      </c>
      <c r="C281" s="6" t="s">
        <v>306</v>
      </c>
      <c r="E281" s="49">
        <v>11081</v>
      </c>
      <c r="F281" s="49"/>
      <c r="G281" s="49">
        <v>0</v>
      </c>
      <c r="H281" s="49"/>
      <c r="I281" s="49">
        <v>5812</v>
      </c>
      <c r="J281" s="49"/>
      <c r="K281" s="49">
        <v>0</v>
      </c>
      <c r="L281" s="49"/>
      <c r="M281" s="49">
        <v>0</v>
      </c>
      <c r="N281" s="49"/>
      <c r="O281" s="49">
        <v>0</v>
      </c>
      <c r="P281" s="49"/>
      <c r="Q281" s="49">
        <v>70</v>
      </c>
      <c r="R281" s="49"/>
      <c r="S281" s="49">
        <v>40</v>
      </c>
      <c r="T281" s="49"/>
      <c r="U281" s="49">
        <v>0</v>
      </c>
      <c r="V281" s="49"/>
      <c r="W281" s="49">
        <v>0</v>
      </c>
      <c r="X281" s="49"/>
      <c r="Y281" s="49">
        <v>0</v>
      </c>
      <c r="Z281" s="49"/>
      <c r="AA281" s="49">
        <v>0</v>
      </c>
      <c r="AB281" s="49"/>
      <c r="AC281" s="49">
        <v>0</v>
      </c>
      <c r="AD281" s="49"/>
      <c r="AE281" s="49">
        <v>0</v>
      </c>
      <c r="AF281" s="49"/>
      <c r="AG281" s="49">
        <v>0</v>
      </c>
      <c r="AH281" s="49"/>
      <c r="AI281" s="49">
        <f t="shared" si="15"/>
        <v>17003</v>
      </c>
      <c r="AK281" s="6" t="str">
        <f>'Gen Rev'!A281</f>
        <v>Ithaca</v>
      </c>
      <c r="AL281" s="6" t="str">
        <f t="shared" si="13"/>
        <v>Ithaca</v>
      </c>
      <c r="AM281" s="6" t="b">
        <f t="shared" si="14"/>
        <v>1</v>
      </c>
    </row>
    <row r="282" spans="1:39" x14ac:dyDescent="0.2">
      <c r="A282" s="6" t="s">
        <v>208</v>
      </c>
      <c r="C282" s="6" t="s">
        <v>498</v>
      </c>
      <c r="E282" s="49">
        <v>161327.54</v>
      </c>
      <c r="F282" s="49"/>
      <c r="G282" s="49">
        <v>794754.08</v>
      </c>
      <c r="H282" s="49"/>
      <c r="I282" s="49">
        <v>109534.85</v>
      </c>
      <c r="J282" s="49"/>
      <c r="K282" s="49">
        <v>0</v>
      </c>
      <c r="L282" s="49"/>
      <c r="M282" s="49">
        <v>72374.61</v>
      </c>
      <c r="N282" s="49"/>
      <c r="O282" s="49">
        <v>32192.58</v>
      </c>
      <c r="P282" s="49"/>
      <c r="Q282" s="49">
        <v>3623.24</v>
      </c>
      <c r="R282" s="49"/>
      <c r="S282" s="49">
        <v>33267.1</v>
      </c>
      <c r="T282" s="49"/>
      <c r="U282" s="49">
        <v>0</v>
      </c>
      <c r="V282" s="49"/>
      <c r="W282" s="49">
        <v>0</v>
      </c>
      <c r="X282" s="49"/>
      <c r="Y282" s="49">
        <v>0</v>
      </c>
      <c r="Z282" s="49"/>
      <c r="AA282" s="49">
        <v>763633.29</v>
      </c>
      <c r="AB282" s="49"/>
      <c r="AC282" s="49">
        <v>0</v>
      </c>
      <c r="AD282" s="49"/>
      <c r="AE282" s="49">
        <v>0</v>
      </c>
      <c r="AF282" s="49"/>
      <c r="AG282" s="49">
        <v>0</v>
      </c>
      <c r="AH282" s="49"/>
      <c r="AI282" s="49">
        <f t="shared" si="15"/>
        <v>1970707.2900000003</v>
      </c>
      <c r="AK282" s="6" t="str">
        <f>'Gen Rev'!A282</f>
        <v>Jackson Center</v>
      </c>
      <c r="AL282" s="6" t="str">
        <f t="shared" si="13"/>
        <v>Jackson Center</v>
      </c>
      <c r="AM282" s="6" t="b">
        <f t="shared" si="14"/>
        <v>1</v>
      </c>
    </row>
    <row r="283" spans="1:39" x14ac:dyDescent="0.2">
      <c r="A283" s="6" t="s">
        <v>830</v>
      </c>
      <c r="C283" s="6" t="s">
        <v>253</v>
      </c>
      <c r="E283" s="49">
        <v>0</v>
      </c>
      <c r="F283" s="49"/>
      <c r="G283" s="49">
        <v>0</v>
      </c>
      <c r="H283" s="49"/>
      <c r="I283" s="49">
        <v>0</v>
      </c>
      <c r="J283" s="49"/>
      <c r="K283" s="49">
        <v>0</v>
      </c>
      <c r="L283" s="49"/>
      <c r="M283" s="49">
        <v>0</v>
      </c>
      <c r="N283" s="49"/>
      <c r="O283" s="49">
        <v>0</v>
      </c>
      <c r="P283" s="49"/>
      <c r="Q283" s="49">
        <v>0</v>
      </c>
      <c r="R283" s="49"/>
      <c r="S283" s="49">
        <v>110132.49</v>
      </c>
      <c r="T283" s="49"/>
      <c r="U283" s="49">
        <v>0</v>
      </c>
      <c r="V283" s="49"/>
      <c r="W283" s="49">
        <v>0</v>
      </c>
      <c r="X283" s="49"/>
      <c r="Y283" s="49">
        <v>0</v>
      </c>
      <c r="Z283" s="49"/>
      <c r="AA283" s="49">
        <v>0</v>
      </c>
      <c r="AB283" s="49"/>
      <c r="AC283" s="49">
        <v>0</v>
      </c>
      <c r="AD283" s="49"/>
      <c r="AE283" s="49">
        <v>0</v>
      </c>
      <c r="AF283" s="49"/>
      <c r="AG283" s="49">
        <v>0</v>
      </c>
      <c r="AH283" s="49"/>
      <c r="AI283" s="49">
        <f t="shared" si="15"/>
        <v>110132.49</v>
      </c>
      <c r="AK283" s="6" t="str">
        <f>'Gen Rev'!A283</f>
        <v>Jacksonville</v>
      </c>
      <c r="AL283" s="6" t="str">
        <f t="shared" si="13"/>
        <v>Jacksonville</v>
      </c>
      <c r="AM283" s="6" t="b">
        <f t="shared" si="14"/>
        <v>1</v>
      </c>
    </row>
    <row r="284" spans="1:39" x14ac:dyDescent="0.2">
      <c r="A284" s="6" t="s">
        <v>79</v>
      </c>
      <c r="C284" s="6" t="s">
        <v>345</v>
      </c>
      <c r="E284" s="49">
        <v>329935.24</v>
      </c>
      <c r="F284" s="49"/>
      <c r="G284" s="49">
        <v>184883.1</v>
      </c>
      <c r="H284" s="49"/>
      <c r="I284" s="49">
        <v>372659.59</v>
      </c>
      <c r="J284" s="49"/>
      <c r="K284" s="49">
        <v>1330.47</v>
      </c>
      <c r="L284" s="49"/>
      <c r="M284" s="49">
        <v>111145.1</v>
      </c>
      <c r="N284" s="49"/>
      <c r="O284" s="49">
        <v>39252.089999999997</v>
      </c>
      <c r="P284" s="49"/>
      <c r="Q284" s="49">
        <v>754.22</v>
      </c>
      <c r="R284" s="49"/>
      <c r="S284" s="49">
        <v>7057.6</v>
      </c>
      <c r="T284" s="49"/>
      <c r="U284" s="49">
        <v>0</v>
      </c>
      <c r="V284" s="49"/>
      <c r="W284" s="49">
        <v>0</v>
      </c>
      <c r="X284" s="49"/>
      <c r="Y284" s="49">
        <v>805.15</v>
      </c>
      <c r="Z284" s="49"/>
      <c r="AA284" s="49">
        <v>88000</v>
      </c>
      <c r="AB284" s="49"/>
      <c r="AC284" s="49">
        <v>0</v>
      </c>
      <c r="AD284" s="49"/>
      <c r="AE284" s="49">
        <v>400.2</v>
      </c>
      <c r="AF284" s="49"/>
      <c r="AG284" s="49">
        <v>0</v>
      </c>
      <c r="AH284" s="49"/>
      <c r="AI284" s="49">
        <f t="shared" si="15"/>
        <v>1136222.7599999998</v>
      </c>
      <c r="AK284" s="6" t="str">
        <f>'Gen Rev'!A284</f>
        <v>Jamestown</v>
      </c>
      <c r="AL284" s="6" t="str">
        <f t="shared" si="13"/>
        <v>Jamestown</v>
      </c>
      <c r="AM284" s="6" t="b">
        <f t="shared" si="14"/>
        <v>1</v>
      </c>
    </row>
    <row r="285" spans="1:39" x14ac:dyDescent="0.2">
      <c r="A285" s="6" t="s">
        <v>638</v>
      </c>
      <c r="C285" s="6" t="s">
        <v>624</v>
      </c>
      <c r="E285" s="49">
        <v>1886219</v>
      </c>
      <c r="F285" s="49"/>
      <c r="G285" s="49">
        <v>0</v>
      </c>
      <c r="H285" s="49"/>
      <c r="I285" s="49">
        <f>73731+358730</f>
        <v>432461</v>
      </c>
      <c r="J285" s="49"/>
      <c r="K285" s="49">
        <v>144241</v>
      </c>
      <c r="L285" s="49"/>
      <c r="M285" s="49">
        <v>253097</v>
      </c>
      <c r="N285" s="49"/>
      <c r="O285" s="49">
        <v>39593</v>
      </c>
      <c r="P285" s="49"/>
      <c r="Q285" s="49">
        <v>1170</v>
      </c>
      <c r="R285" s="49"/>
      <c r="S285" s="49">
        <v>217565</v>
      </c>
      <c r="T285" s="49"/>
      <c r="U285" s="49">
        <v>0</v>
      </c>
      <c r="V285" s="49"/>
      <c r="W285" s="49">
        <v>0</v>
      </c>
      <c r="X285" s="49"/>
      <c r="Y285" s="49">
        <v>0</v>
      </c>
      <c r="Z285" s="49"/>
      <c r="AA285" s="49">
        <v>66843</v>
      </c>
      <c r="AB285" s="49"/>
      <c r="AC285" s="49">
        <v>0</v>
      </c>
      <c r="AD285" s="49"/>
      <c r="AE285" s="49">
        <v>1910</v>
      </c>
      <c r="AF285" s="49"/>
      <c r="AG285" s="49">
        <v>0</v>
      </c>
      <c r="AH285" s="49"/>
      <c r="AI285" s="49">
        <f t="shared" si="15"/>
        <v>3043099</v>
      </c>
      <c r="AK285" s="6" t="str">
        <f>'Gen Rev'!A285</f>
        <v xml:space="preserve">Jefferson  </v>
      </c>
      <c r="AL285" s="6" t="str">
        <f t="shared" si="13"/>
        <v xml:space="preserve">Jefferson  </v>
      </c>
      <c r="AM285" s="6" t="b">
        <f t="shared" si="14"/>
        <v>1</v>
      </c>
    </row>
    <row r="286" spans="1:39" x14ac:dyDescent="0.2">
      <c r="A286" s="6" t="s">
        <v>64</v>
      </c>
      <c r="C286" s="6" t="s">
        <v>334</v>
      </c>
      <c r="E286" s="49">
        <v>139380.04</v>
      </c>
      <c r="F286" s="49"/>
      <c r="G286" s="49">
        <v>223304.24</v>
      </c>
      <c r="H286" s="49"/>
      <c r="I286" s="49">
        <v>82132.86</v>
      </c>
      <c r="J286" s="49"/>
      <c r="K286" s="49">
        <v>0</v>
      </c>
      <c r="L286" s="49"/>
      <c r="M286" s="49">
        <v>33112.99</v>
      </c>
      <c r="N286" s="49"/>
      <c r="O286" s="49">
        <v>22681.8</v>
      </c>
      <c r="P286" s="49"/>
      <c r="Q286" s="49">
        <v>64.97</v>
      </c>
      <c r="R286" s="49"/>
      <c r="S286" s="49">
        <v>12491.5</v>
      </c>
      <c r="T286" s="49"/>
      <c r="U286" s="49">
        <v>0</v>
      </c>
      <c r="V286" s="49"/>
      <c r="W286" s="49">
        <v>0</v>
      </c>
      <c r="X286" s="49"/>
      <c r="Y286" s="49">
        <v>0</v>
      </c>
      <c r="Z286" s="49"/>
      <c r="AA286" s="49">
        <v>0</v>
      </c>
      <c r="AB286" s="49"/>
      <c r="AC286" s="49">
        <v>0</v>
      </c>
      <c r="AD286" s="49"/>
      <c r="AE286" s="49">
        <v>12485.6</v>
      </c>
      <c r="AF286" s="49"/>
      <c r="AG286" s="49">
        <v>0</v>
      </c>
      <c r="AH286" s="49"/>
      <c r="AI286" s="49">
        <f t="shared" si="15"/>
        <v>525654</v>
      </c>
      <c r="AK286" s="6" t="str">
        <f>'Gen Rev'!A286</f>
        <v>Jeffersonville</v>
      </c>
      <c r="AL286" s="6" t="str">
        <f t="shared" si="13"/>
        <v>Jeffersonville</v>
      </c>
      <c r="AM286" s="6" t="b">
        <f t="shared" si="14"/>
        <v>1</v>
      </c>
    </row>
    <row r="287" spans="1:39" x14ac:dyDescent="0.2">
      <c r="A287" s="6" t="s">
        <v>639</v>
      </c>
      <c r="C287" s="6" t="s">
        <v>360</v>
      </c>
      <c r="E287" s="49">
        <v>61744</v>
      </c>
      <c r="F287" s="49"/>
      <c r="G287" s="49">
        <v>0</v>
      </c>
      <c r="H287" s="49"/>
      <c r="I287" s="49">
        <v>24145</v>
      </c>
      <c r="J287" s="49"/>
      <c r="K287" s="49">
        <v>7406</v>
      </c>
      <c r="L287" s="49"/>
      <c r="M287" s="49">
        <v>31306</v>
      </c>
      <c r="N287" s="49"/>
      <c r="O287" s="49">
        <v>0</v>
      </c>
      <c r="P287" s="49"/>
      <c r="Q287" s="49">
        <v>220</v>
      </c>
      <c r="R287" s="49"/>
      <c r="S287" s="49">
        <v>10570</v>
      </c>
      <c r="T287" s="49"/>
      <c r="U287" s="49">
        <v>0</v>
      </c>
      <c r="V287" s="49"/>
      <c r="W287" s="49">
        <v>0</v>
      </c>
      <c r="X287" s="49"/>
      <c r="Y287" s="49">
        <v>0</v>
      </c>
      <c r="Z287" s="49"/>
      <c r="AA287" s="49">
        <v>0</v>
      </c>
      <c r="AB287" s="49"/>
      <c r="AC287" s="49">
        <v>0</v>
      </c>
      <c r="AD287" s="49"/>
      <c r="AE287" s="49">
        <v>0</v>
      </c>
      <c r="AF287" s="49"/>
      <c r="AG287" s="49">
        <v>0</v>
      </c>
      <c r="AH287" s="49"/>
      <c r="AI287" s="49">
        <f t="shared" si="15"/>
        <v>135391</v>
      </c>
      <c r="AK287" s="6" t="str">
        <f>'Gen Rev'!A287</f>
        <v>Jenera</v>
      </c>
      <c r="AL287" s="6" t="str">
        <f t="shared" si="13"/>
        <v>Jenera</v>
      </c>
      <c r="AM287" s="6" t="b">
        <f t="shared" si="14"/>
        <v>1</v>
      </c>
    </row>
    <row r="288" spans="1:39" x14ac:dyDescent="0.2">
      <c r="A288" s="6" t="s">
        <v>640</v>
      </c>
      <c r="C288" s="6" t="s">
        <v>619</v>
      </c>
      <c r="E288" s="49">
        <v>32144</v>
      </c>
      <c r="F288" s="49"/>
      <c r="G288" s="49">
        <v>0</v>
      </c>
      <c r="H288" s="49"/>
      <c r="I288" s="49">
        <v>51134</v>
      </c>
      <c r="J288" s="49"/>
      <c r="K288" s="49">
        <v>0</v>
      </c>
      <c r="L288" s="49"/>
      <c r="M288" s="49">
        <v>5452</v>
      </c>
      <c r="N288" s="49"/>
      <c r="O288" s="49">
        <v>0</v>
      </c>
      <c r="P288" s="49"/>
      <c r="Q288" s="49">
        <v>424</v>
      </c>
      <c r="R288" s="49"/>
      <c r="S288" s="49">
        <v>27038</v>
      </c>
      <c r="T288" s="49"/>
      <c r="U288" s="49">
        <v>0</v>
      </c>
      <c r="V288" s="49"/>
      <c r="W288" s="49">
        <v>12706</v>
      </c>
      <c r="X288" s="49"/>
      <c r="Y288" s="49">
        <v>0</v>
      </c>
      <c r="Z288" s="49"/>
      <c r="AA288" s="49">
        <v>55944</v>
      </c>
      <c r="AB288" s="49"/>
      <c r="AC288" s="49">
        <v>0</v>
      </c>
      <c r="AD288" s="49"/>
      <c r="AE288" s="49">
        <v>0</v>
      </c>
      <c r="AF288" s="49"/>
      <c r="AG288" s="49">
        <v>0</v>
      </c>
      <c r="AH288" s="49"/>
      <c r="AI288" s="49">
        <f t="shared" si="15"/>
        <v>184842</v>
      </c>
      <c r="AK288" s="6" t="str">
        <f>'Gen Rev'!A288</f>
        <v>Jeromesville</v>
      </c>
      <c r="AL288" s="6" t="str">
        <f t="shared" si="13"/>
        <v>Jeromesville</v>
      </c>
      <c r="AM288" s="6" t="b">
        <f t="shared" si="14"/>
        <v>1</v>
      </c>
    </row>
    <row r="289" spans="1:39" x14ac:dyDescent="0.2">
      <c r="A289" s="6" t="s">
        <v>641</v>
      </c>
      <c r="C289" s="6" t="s">
        <v>558</v>
      </c>
      <c r="E289" s="49">
        <v>32344.41</v>
      </c>
      <c r="F289" s="49"/>
      <c r="G289" s="49">
        <v>19721.22</v>
      </c>
      <c r="H289" s="49"/>
      <c r="I289" s="49">
        <v>33603.19</v>
      </c>
      <c r="J289" s="49"/>
      <c r="K289" s="49">
        <v>5358.1</v>
      </c>
      <c r="L289" s="49"/>
      <c r="M289" s="49">
        <v>0</v>
      </c>
      <c r="N289" s="49"/>
      <c r="O289" s="49">
        <v>1374.64</v>
      </c>
      <c r="P289" s="49"/>
      <c r="Q289" s="49">
        <v>11.51</v>
      </c>
      <c r="R289" s="49"/>
      <c r="S289" s="49">
        <v>3592.28</v>
      </c>
      <c r="T289" s="49"/>
      <c r="U289" s="49">
        <v>0</v>
      </c>
      <c r="V289" s="49"/>
      <c r="W289" s="49">
        <v>0</v>
      </c>
      <c r="X289" s="49"/>
      <c r="Y289" s="49">
        <v>0</v>
      </c>
      <c r="Z289" s="49"/>
      <c r="AA289" s="49">
        <v>0</v>
      </c>
      <c r="AB289" s="49"/>
      <c r="AC289" s="49">
        <v>0</v>
      </c>
      <c r="AD289" s="49"/>
      <c r="AE289" s="49">
        <v>0</v>
      </c>
      <c r="AF289" s="49"/>
      <c r="AG289" s="49">
        <v>1093.6199999999999</v>
      </c>
      <c r="AH289" s="49"/>
      <c r="AI289" s="49">
        <f t="shared" si="15"/>
        <v>97098.97</v>
      </c>
      <c r="AK289" s="6" t="str">
        <f>'Gen Rev'!A289</f>
        <v>Jerry City</v>
      </c>
      <c r="AL289" s="6" t="str">
        <f t="shared" si="13"/>
        <v>Jerry City</v>
      </c>
      <c r="AM289" s="6" t="b">
        <f t="shared" si="14"/>
        <v>1</v>
      </c>
    </row>
    <row r="290" spans="1:39" x14ac:dyDescent="0.2">
      <c r="A290" s="6" t="s">
        <v>846</v>
      </c>
      <c r="C290" s="6" t="s">
        <v>441</v>
      </c>
      <c r="E290" s="49">
        <f>23902+4666</f>
        <v>28568</v>
      </c>
      <c r="F290" s="49"/>
      <c r="G290" s="49">
        <v>0</v>
      </c>
      <c r="H290" s="49"/>
      <c r="I290" s="49">
        <v>0</v>
      </c>
      <c r="J290" s="49"/>
      <c r="K290" s="49">
        <v>0</v>
      </c>
      <c r="L290" s="49"/>
      <c r="M290" s="49">
        <v>0</v>
      </c>
      <c r="N290" s="49"/>
      <c r="O290" s="49">
        <v>0</v>
      </c>
      <c r="P290" s="49"/>
      <c r="Q290" s="49">
        <v>0</v>
      </c>
      <c r="R290" s="49"/>
      <c r="S290" s="49">
        <v>395</v>
      </c>
      <c r="T290" s="49"/>
      <c r="U290" s="49">
        <v>0</v>
      </c>
      <c r="V290" s="49"/>
      <c r="W290" s="49">
        <v>0</v>
      </c>
      <c r="X290" s="49"/>
      <c r="Y290" s="49">
        <v>0</v>
      </c>
      <c r="Z290" s="49"/>
      <c r="AA290" s="49">
        <v>0</v>
      </c>
      <c r="AB290" s="49"/>
      <c r="AC290" s="49">
        <v>0</v>
      </c>
      <c r="AD290" s="49"/>
      <c r="AE290" s="49">
        <v>0</v>
      </c>
      <c r="AF290" s="49"/>
      <c r="AG290" s="49">
        <v>0</v>
      </c>
      <c r="AH290" s="49"/>
      <c r="AI290" s="49">
        <f t="shared" si="15"/>
        <v>28963</v>
      </c>
      <c r="AK290" s="6" t="str">
        <f>'Gen Rev'!A290</f>
        <v>Jerusalem</v>
      </c>
      <c r="AL290" s="6" t="str">
        <f t="shared" si="13"/>
        <v>Jerusalem</v>
      </c>
      <c r="AM290" s="6" t="b">
        <f t="shared" si="14"/>
        <v>1</v>
      </c>
    </row>
    <row r="291" spans="1:39" x14ac:dyDescent="0.2">
      <c r="A291" s="6" t="s">
        <v>97</v>
      </c>
      <c r="C291" s="6" t="s">
        <v>373</v>
      </c>
      <c r="E291" s="49">
        <v>54206.69</v>
      </c>
      <c r="F291" s="49"/>
      <c r="G291" s="49">
        <v>44722.77</v>
      </c>
      <c r="H291" s="49"/>
      <c r="I291" s="49">
        <v>61002.49</v>
      </c>
      <c r="J291" s="49"/>
      <c r="K291" s="49">
        <v>0</v>
      </c>
      <c r="L291" s="49"/>
      <c r="M291" s="49">
        <v>5490</v>
      </c>
      <c r="N291" s="49"/>
      <c r="O291" s="49">
        <v>22165.41</v>
      </c>
      <c r="P291" s="49"/>
      <c r="Q291" s="49">
        <v>128.13</v>
      </c>
      <c r="R291" s="49"/>
      <c r="S291" s="49">
        <v>43020.84</v>
      </c>
      <c r="T291" s="49"/>
      <c r="U291" s="49">
        <v>0</v>
      </c>
      <c r="V291" s="49"/>
      <c r="W291" s="49">
        <v>0</v>
      </c>
      <c r="X291" s="49"/>
      <c r="Y291" s="49">
        <v>5759</v>
      </c>
      <c r="Z291" s="49"/>
      <c r="AA291" s="49">
        <v>0</v>
      </c>
      <c r="AB291" s="49"/>
      <c r="AC291" s="49">
        <v>0</v>
      </c>
      <c r="AD291" s="49"/>
      <c r="AE291" s="49">
        <v>5119.5</v>
      </c>
      <c r="AF291" s="49"/>
      <c r="AG291" s="49">
        <v>0</v>
      </c>
      <c r="AH291" s="49"/>
      <c r="AI291" s="49">
        <f t="shared" si="15"/>
        <v>241614.83</v>
      </c>
      <c r="AK291" s="6" t="str">
        <f>'Gen Rev'!A291</f>
        <v>Jewett</v>
      </c>
      <c r="AL291" s="6" t="str">
        <f t="shared" si="13"/>
        <v>Jewett</v>
      </c>
      <c r="AM291" s="6" t="b">
        <f t="shared" si="14"/>
        <v>1</v>
      </c>
    </row>
    <row r="292" spans="1:39" x14ac:dyDescent="0.2">
      <c r="A292" s="6" t="s">
        <v>642</v>
      </c>
      <c r="C292" s="6" t="s">
        <v>464</v>
      </c>
      <c r="E292" s="49">
        <v>26079</v>
      </c>
      <c r="F292" s="49"/>
      <c r="G292" s="49">
        <v>0</v>
      </c>
      <c r="H292" s="49"/>
      <c r="I292" s="49">
        <v>45098</v>
      </c>
      <c r="J292" s="49"/>
      <c r="K292" s="49">
        <v>0</v>
      </c>
      <c r="L292" s="49"/>
      <c r="M292" s="49">
        <v>178594</v>
      </c>
      <c r="N292" s="49"/>
      <c r="O292" s="49">
        <v>23888</v>
      </c>
      <c r="P292" s="49"/>
      <c r="Q292" s="49">
        <v>3122</v>
      </c>
      <c r="R292" s="49"/>
      <c r="S292" s="49">
        <v>25414</v>
      </c>
      <c r="T292" s="49"/>
      <c r="U292" s="49">
        <v>0</v>
      </c>
      <c r="V292" s="49"/>
      <c r="W292" s="49">
        <v>0</v>
      </c>
      <c r="X292" s="49"/>
      <c r="Y292" s="49">
        <v>0</v>
      </c>
      <c r="Z292" s="49"/>
      <c r="AA292" s="49">
        <v>0</v>
      </c>
      <c r="AB292" s="49"/>
      <c r="AC292" s="49">
        <v>0</v>
      </c>
      <c r="AD292" s="49"/>
      <c r="AE292" s="49">
        <v>0</v>
      </c>
      <c r="AF292" s="49"/>
      <c r="AG292" s="49">
        <v>0</v>
      </c>
      <c r="AH292" s="49"/>
      <c r="AI292" s="49">
        <f t="shared" si="15"/>
        <v>302195</v>
      </c>
      <c r="AK292" s="6" t="str">
        <f>'Gen Rev'!A292</f>
        <v>Junction City</v>
      </c>
      <c r="AL292" s="6" t="str">
        <f t="shared" si="13"/>
        <v>Junction City</v>
      </c>
      <c r="AM292" s="6" t="b">
        <f t="shared" si="14"/>
        <v>1</v>
      </c>
    </row>
    <row r="293" spans="1:39" x14ac:dyDescent="0.2">
      <c r="A293" s="6" t="s">
        <v>712</v>
      </c>
      <c r="C293" s="6" t="s">
        <v>476</v>
      </c>
      <c r="E293" s="49">
        <v>107103.84</v>
      </c>
      <c r="F293" s="49"/>
      <c r="G293" s="49">
        <v>501266.78</v>
      </c>
      <c r="H293" s="49"/>
      <c r="I293" s="49">
        <v>803325.6</v>
      </c>
      <c r="J293" s="49"/>
      <c r="K293" s="49">
        <v>4683.18</v>
      </c>
      <c r="L293" s="49"/>
      <c r="M293" s="49">
        <v>74275.22</v>
      </c>
      <c r="N293" s="49"/>
      <c r="O293" s="49">
        <v>5432.5</v>
      </c>
      <c r="P293" s="49"/>
      <c r="Q293" s="49">
        <v>2798.64</v>
      </c>
      <c r="R293" s="49"/>
      <c r="S293" s="49">
        <v>123689.78</v>
      </c>
      <c r="T293" s="49"/>
      <c r="U293" s="49">
        <v>0</v>
      </c>
      <c r="V293" s="49"/>
      <c r="W293" s="49">
        <v>0</v>
      </c>
      <c r="X293" s="49"/>
      <c r="Y293" s="49">
        <v>0</v>
      </c>
      <c r="Z293" s="49"/>
      <c r="AA293" s="49">
        <v>700204.64</v>
      </c>
      <c r="AB293" s="49"/>
      <c r="AC293" s="49">
        <v>732492</v>
      </c>
      <c r="AD293" s="49"/>
      <c r="AE293" s="49">
        <v>174000</v>
      </c>
      <c r="AF293" s="49"/>
      <c r="AG293" s="49">
        <v>0</v>
      </c>
      <c r="AH293" s="49"/>
      <c r="AI293" s="49">
        <f t="shared" si="15"/>
        <v>3229272.1799999997</v>
      </c>
      <c r="AK293" s="6" t="str">
        <f>'Gen Rev'!A293</f>
        <v>Kalida</v>
      </c>
      <c r="AL293" s="6" t="str">
        <f t="shared" si="13"/>
        <v>Kalida</v>
      </c>
      <c r="AM293" s="6" t="b">
        <f t="shared" si="14"/>
        <v>1</v>
      </c>
    </row>
    <row r="294" spans="1:39" x14ac:dyDescent="0.2">
      <c r="A294" s="6" t="s">
        <v>643</v>
      </c>
      <c r="C294" s="6" t="s">
        <v>325</v>
      </c>
      <c r="E294" s="49">
        <v>660609</v>
      </c>
      <c r="F294" s="49"/>
      <c r="G294" s="49">
        <v>0</v>
      </c>
      <c r="H294" s="49"/>
      <c r="I294" s="49">
        <v>397809</v>
      </c>
      <c r="J294" s="49"/>
      <c r="K294" s="49">
        <v>21783</v>
      </c>
      <c r="L294" s="49"/>
      <c r="M294" s="49">
        <v>9350</v>
      </c>
      <c r="N294" s="49"/>
      <c r="O294" s="49">
        <v>40894</v>
      </c>
      <c r="P294" s="49"/>
      <c r="Q294" s="49">
        <v>2015</v>
      </c>
      <c r="R294" s="49"/>
      <c r="S294" s="49">
        <v>250830</v>
      </c>
      <c r="T294" s="49"/>
      <c r="U294" s="49">
        <v>381000</v>
      </c>
      <c r="V294" s="49"/>
      <c r="W294" s="49">
        <v>0</v>
      </c>
      <c r="X294" s="49"/>
      <c r="Y294" s="49">
        <v>0</v>
      </c>
      <c r="Z294" s="49"/>
      <c r="AA294" s="49">
        <v>11</v>
      </c>
      <c r="AB294" s="49"/>
      <c r="AC294" s="49">
        <v>0</v>
      </c>
      <c r="AD294" s="49"/>
      <c r="AE294" s="49">
        <v>0</v>
      </c>
      <c r="AF294" s="49"/>
      <c r="AG294" s="49">
        <v>0</v>
      </c>
      <c r="AH294" s="49"/>
      <c r="AI294" s="49">
        <f t="shared" si="15"/>
        <v>1764301</v>
      </c>
      <c r="AK294" s="6" t="str">
        <f>'Gen Rev'!A294</f>
        <v>Kelley's Island</v>
      </c>
      <c r="AL294" s="6" t="str">
        <f t="shared" si="13"/>
        <v>Kelley's Island</v>
      </c>
      <c r="AM294" s="6" t="b">
        <f t="shared" si="14"/>
        <v>1</v>
      </c>
    </row>
    <row r="295" spans="1:39" x14ac:dyDescent="0.2">
      <c r="A295" s="6" t="s">
        <v>832</v>
      </c>
      <c r="C295" s="6" t="s">
        <v>498</v>
      </c>
      <c r="E295" s="49">
        <v>6053</v>
      </c>
      <c r="F295" s="49"/>
      <c r="G295" s="49">
        <v>8590</v>
      </c>
      <c r="H295" s="49"/>
      <c r="I295" s="49">
        <v>34007</v>
      </c>
      <c r="J295" s="49"/>
      <c r="K295" s="49">
        <v>0</v>
      </c>
      <c r="L295" s="49"/>
      <c r="M295" s="49">
        <v>0</v>
      </c>
      <c r="N295" s="49"/>
      <c r="O295" s="49">
        <v>0</v>
      </c>
      <c r="P295" s="49"/>
      <c r="Q295" s="49">
        <v>219</v>
      </c>
      <c r="R295" s="49"/>
      <c r="S295" s="49">
        <v>4728</v>
      </c>
      <c r="T295" s="49"/>
      <c r="U295" s="49">
        <v>0</v>
      </c>
      <c r="V295" s="49"/>
      <c r="W295" s="49">
        <v>0</v>
      </c>
      <c r="X295" s="49"/>
      <c r="Y295" s="49">
        <v>0</v>
      </c>
      <c r="Z295" s="49"/>
      <c r="AA295" s="49">
        <v>0</v>
      </c>
      <c r="AB295" s="49"/>
      <c r="AC295" s="49">
        <v>0</v>
      </c>
      <c r="AD295" s="49"/>
      <c r="AE295" s="49">
        <v>0</v>
      </c>
      <c r="AF295" s="49"/>
      <c r="AG295" s="49">
        <v>0</v>
      </c>
      <c r="AH295" s="49"/>
      <c r="AI295" s="49">
        <f t="shared" si="15"/>
        <v>53597</v>
      </c>
      <c r="AK295" s="6" t="str">
        <f>'Gen Rev'!A295</f>
        <v>Kettlersville</v>
      </c>
      <c r="AL295" s="6" t="str">
        <f t="shared" si="13"/>
        <v>Kettlersville</v>
      </c>
      <c r="AM295" s="6" t="b">
        <f t="shared" si="14"/>
        <v>1</v>
      </c>
    </row>
    <row r="296" spans="1:39" x14ac:dyDescent="0.2">
      <c r="A296" s="6" t="s">
        <v>770</v>
      </c>
      <c r="C296" s="6" t="s">
        <v>382</v>
      </c>
      <c r="E296" s="49">
        <v>53118</v>
      </c>
      <c r="F296" s="49"/>
      <c r="G296" s="49">
        <v>193013</v>
      </c>
      <c r="H296" s="49"/>
      <c r="I296" s="49">
        <v>51200</v>
      </c>
      <c r="J296" s="49"/>
      <c r="K296" s="49">
        <v>0</v>
      </c>
      <c r="L296" s="49"/>
      <c r="M296" s="49">
        <v>1039</v>
      </c>
      <c r="N296" s="49"/>
      <c r="O296" s="49">
        <v>22</v>
      </c>
      <c r="P296" s="49"/>
      <c r="Q296" s="49">
        <v>433</v>
      </c>
      <c r="R296" s="49"/>
      <c r="S296" s="49">
        <v>57175</v>
      </c>
      <c r="T296" s="49"/>
      <c r="U296" s="49">
        <v>0</v>
      </c>
      <c r="V296" s="49"/>
      <c r="W296" s="49">
        <v>0</v>
      </c>
      <c r="X296" s="49"/>
      <c r="Y296" s="49">
        <v>0</v>
      </c>
      <c r="Z296" s="49"/>
      <c r="AA296" s="49">
        <v>0</v>
      </c>
      <c r="AB296" s="49"/>
      <c r="AC296" s="49">
        <v>0</v>
      </c>
      <c r="AD296" s="49"/>
      <c r="AE296" s="49">
        <v>0</v>
      </c>
      <c r="AF296" s="49"/>
      <c r="AG296" s="49">
        <v>0</v>
      </c>
      <c r="AH296" s="49"/>
      <c r="AI296" s="49">
        <f t="shared" si="15"/>
        <v>356000</v>
      </c>
      <c r="AK296" s="6" t="str">
        <f>'Gen Rev'!A296</f>
        <v>Killbuck</v>
      </c>
      <c r="AL296" s="6" t="str">
        <f t="shared" si="13"/>
        <v>Killbuck</v>
      </c>
      <c r="AM296" s="6" t="b">
        <f t="shared" si="14"/>
        <v>1</v>
      </c>
    </row>
    <row r="297" spans="1:39" x14ac:dyDescent="0.2">
      <c r="A297" s="6" t="s">
        <v>198</v>
      </c>
      <c r="C297" s="6" t="s">
        <v>485</v>
      </c>
      <c r="E297" s="49">
        <v>86375.360000000001</v>
      </c>
      <c r="F297" s="49"/>
      <c r="G297" s="49">
        <v>0</v>
      </c>
      <c r="H297" s="49"/>
      <c r="I297" s="49">
        <v>152906.60999999999</v>
      </c>
      <c r="J297" s="49"/>
      <c r="K297" s="49">
        <v>0</v>
      </c>
      <c r="L297" s="49"/>
      <c r="M297" s="49">
        <v>0</v>
      </c>
      <c r="N297" s="49"/>
      <c r="O297" s="49">
        <v>350</v>
      </c>
      <c r="P297" s="49"/>
      <c r="Q297" s="49">
        <v>8670.17</v>
      </c>
      <c r="R297" s="49"/>
      <c r="S297" s="49">
        <v>5105.09</v>
      </c>
      <c r="T297" s="49"/>
      <c r="U297" s="49">
        <v>0</v>
      </c>
      <c r="V297" s="49"/>
      <c r="W297" s="49">
        <v>0</v>
      </c>
      <c r="X297" s="49"/>
      <c r="Y297" s="49">
        <v>0</v>
      </c>
      <c r="Z297" s="49"/>
      <c r="AA297" s="49">
        <v>0</v>
      </c>
      <c r="AB297" s="49"/>
      <c r="AC297" s="49">
        <v>0</v>
      </c>
      <c r="AD297" s="49"/>
      <c r="AE297" s="49">
        <v>19074.18</v>
      </c>
      <c r="AF297" s="49"/>
      <c r="AG297" s="49">
        <v>0</v>
      </c>
      <c r="AH297" s="49"/>
      <c r="AI297" s="49">
        <f t="shared" si="15"/>
        <v>272481.40999999997</v>
      </c>
      <c r="AK297" s="6" t="str">
        <f>'Gen Rev'!A297</f>
        <v>Kingston</v>
      </c>
      <c r="AL297" s="6" t="str">
        <f t="shared" si="13"/>
        <v>Kingston</v>
      </c>
      <c r="AM297" s="6" t="b">
        <f t="shared" si="14"/>
        <v>1</v>
      </c>
    </row>
    <row r="298" spans="1:39" x14ac:dyDescent="0.2">
      <c r="A298" s="6" t="s">
        <v>127</v>
      </c>
      <c r="C298" s="6" t="s">
        <v>419</v>
      </c>
      <c r="E298" s="49">
        <v>23045.54</v>
      </c>
      <c r="F298" s="49"/>
      <c r="G298" s="49">
        <v>0</v>
      </c>
      <c r="H298" s="49"/>
      <c r="I298" s="49">
        <v>29814.81</v>
      </c>
      <c r="J298" s="49"/>
      <c r="K298" s="49">
        <v>0</v>
      </c>
      <c r="L298" s="49"/>
      <c r="M298" s="49">
        <v>95.6</v>
      </c>
      <c r="N298" s="49"/>
      <c r="O298" s="49">
        <v>533.91</v>
      </c>
      <c r="P298" s="49"/>
      <c r="Q298" s="49">
        <v>0</v>
      </c>
      <c r="R298" s="49"/>
      <c r="S298" s="49">
        <v>477.42</v>
      </c>
      <c r="T298" s="49"/>
      <c r="U298" s="49">
        <v>0</v>
      </c>
      <c r="V298" s="49"/>
      <c r="W298" s="49">
        <v>0</v>
      </c>
      <c r="X298" s="49"/>
      <c r="Y298" s="49">
        <v>0</v>
      </c>
      <c r="Z298" s="49"/>
      <c r="AA298" s="49">
        <v>900</v>
      </c>
      <c r="AB298" s="49"/>
      <c r="AC298" s="49">
        <v>0</v>
      </c>
      <c r="AD298" s="49"/>
      <c r="AE298" s="49">
        <v>0</v>
      </c>
      <c r="AF298" s="49"/>
      <c r="AG298" s="49">
        <v>0</v>
      </c>
      <c r="AH298" s="49"/>
      <c r="AI298" s="49">
        <f t="shared" si="15"/>
        <v>54867.280000000006</v>
      </c>
      <c r="AK298" s="6" t="str">
        <f>'Gen Rev'!A298</f>
        <v>Kipton</v>
      </c>
      <c r="AL298" s="6" t="str">
        <f t="shared" si="13"/>
        <v>Kipton</v>
      </c>
      <c r="AM298" s="6" t="b">
        <f t="shared" si="14"/>
        <v>1</v>
      </c>
    </row>
    <row r="299" spans="1:39" x14ac:dyDescent="0.2">
      <c r="A299" s="6" t="s">
        <v>247</v>
      </c>
      <c r="C299" s="6" t="s">
        <v>566</v>
      </c>
      <c r="E299" s="49">
        <v>872.05</v>
      </c>
      <c r="F299" s="49"/>
      <c r="G299" s="49">
        <v>12493.61</v>
      </c>
      <c r="H299" s="49"/>
      <c r="I299" s="49">
        <v>10586.79</v>
      </c>
      <c r="J299" s="49"/>
      <c r="K299" s="49">
        <v>0</v>
      </c>
      <c r="L299" s="49"/>
      <c r="M299" s="49">
        <v>0</v>
      </c>
      <c r="N299" s="49"/>
      <c r="O299" s="49">
        <v>0</v>
      </c>
      <c r="P299" s="49"/>
      <c r="Q299" s="49">
        <v>189.14</v>
      </c>
      <c r="R299" s="49"/>
      <c r="S299" s="49">
        <v>0</v>
      </c>
      <c r="T299" s="49"/>
      <c r="U299" s="49">
        <v>0</v>
      </c>
      <c r="V299" s="49"/>
      <c r="W299" s="49">
        <v>0</v>
      </c>
      <c r="X299" s="49"/>
      <c r="Y299" s="49">
        <v>0</v>
      </c>
      <c r="Z299" s="49"/>
      <c r="AA299" s="49">
        <v>0</v>
      </c>
      <c r="AB299" s="49"/>
      <c r="AC299" s="49">
        <v>0</v>
      </c>
      <c r="AD299" s="49"/>
      <c r="AE299" s="49">
        <v>0</v>
      </c>
      <c r="AF299" s="49"/>
      <c r="AG299" s="49">
        <v>0</v>
      </c>
      <c r="AH299" s="49"/>
      <c r="AI299" s="49">
        <f t="shared" si="15"/>
        <v>24141.59</v>
      </c>
      <c r="AK299" s="6" t="str">
        <f>'Gen Rev'!A299</f>
        <v>Kirby</v>
      </c>
      <c r="AL299" s="6" t="str">
        <f t="shared" si="13"/>
        <v>Kirby</v>
      </c>
      <c r="AM299" s="6" t="b">
        <f t="shared" si="14"/>
        <v>1</v>
      </c>
    </row>
    <row r="300" spans="1:39" x14ac:dyDescent="0.2">
      <c r="A300" s="6" t="s">
        <v>644</v>
      </c>
      <c r="C300" s="6" t="s">
        <v>408</v>
      </c>
      <c r="E300" s="49">
        <v>41502.28</v>
      </c>
      <c r="F300" s="49"/>
      <c r="G300" s="49">
        <v>0</v>
      </c>
      <c r="H300" s="49"/>
      <c r="I300" s="49">
        <v>44561.84</v>
      </c>
      <c r="J300" s="49"/>
      <c r="K300" s="49">
        <v>0</v>
      </c>
      <c r="L300" s="49"/>
      <c r="M300" s="49">
        <v>0</v>
      </c>
      <c r="N300" s="49"/>
      <c r="O300" s="49">
        <v>66908.25</v>
      </c>
      <c r="P300" s="49"/>
      <c r="Q300" s="49">
        <v>69.760000000000005</v>
      </c>
      <c r="R300" s="49"/>
      <c r="S300" s="49">
        <v>4764.22</v>
      </c>
      <c r="T300" s="49"/>
      <c r="U300" s="49">
        <v>0</v>
      </c>
      <c r="V300" s="49"/>
      <c r="W300" s="49">
        <v>0</v>
      </c>
      <c r="X300" s="49"/>
      <c r="Y300" s="49">
        <v>0</v>
      </c>
      <c r="Z300" s="49"/>
      <c r="AA300" s="49">
        <v>1350</v>
      </c>
      <c r="AB300" s="49"/>
      <c r="AC300" s="49">
        <v>0</v>
      </c>
      <c r="AD300" s="49"/>
      <c r="AE300" s="49">
        <v>0</v>
      </c>
      <c r="AF300" s="49"/>
      <c r="AG300" s="49">
        <v>0</v>
      </c>
      <c r="AH300" s="49"/>
      <c r="AI300" s="49">
        <f t="shared" si="15"/>
        <v>159156.35</v>
      </c>
      <c r="AK300" s="6" t="str">
        <f>'Gen Rev'!A300</f>
        <v>Kirkersville</v>
      </c>
      <c r="AL300" s="6" t="str">
        <f t="shared" si="13"/>
        <v>Kirkersville</v>
      </c>
      <c r="AM300" s="6" t="b">
        <f t="shared" si="14"/>
        <v>1</v>
      </c>
    </row>
    <row r="301" spans="1:39" x14ac:dyDescent="0.2">
      <c r="A301" s="6" t="s">
        <v>783</v>
      </c>
      <c r="C301" s="6" t="s">
        <v>399</v>
      </c>
      <c r="E301" s="49">
        <v>816482</v>
      </c>
      <c r="F301" s="49"/>
      <c r="G301" s="49">
        <v>0</v>
      </c>
      <c r="H301" s="49"/>
      <c r="I301" s="49">
        <v>462424</v>
      </c>
      <c r="J301" s="49"/>
      <c r="K301" s="49">
        <v>0</v>
      </c>
      <c r="L301" s="49"/>
      <c r="M301" s="49">
        <v>8968</v>
      </c>
      <c r="N301" s="49"/>
      <c r="O301" s="49">
        <v>95360</v>
      </c>
      <c r="P301" s="49"/>
      <c r="Q301" s="49">
        <v>533731</v>
      </c>
      <c r="R301" s="49"/>
      <c r="S301" s="49">
        <v>28579</v>
      </c>
      <c r="T301" s="49"/>
      <c r="U301" s="49">
        <v>0</v>
      </c>
      <c r="V301" s="49"/>
      <c r="W301" s="49">
        <v>0</v>
      </c>
      <c r="X301" s="49"/>
      <c r="Y301" s="49">
        <v>0</v>
      </c>
      <c r="Z301" s="49"/>
      <c r="AA301" s="49">
        <v>41094</v>
      </c>
      <c r="AB301" s="49"/>
      <c r="AC301" s="49">
        <v>0</v>
      </c>
      <c r="AD301" s="49"/>
      <c r="AE301" s="49">
        <v>0</v>
      </c>
      <c r="AF301" s="49"/>
      <c r="AG301" s="49">
        <v>0</v>
      </c>
      <c r="AH301" s="49"/>
      <c r="AI301" s="49">
        <f t="shared" si="15"/>
        <v>1986638</v>
      </c>
      <c r="AK301" s="6" t="str">
        <f>'Gen Rev'!A301</f>
        <v>Kirtland Hills</v>
      </c>
      <c r="AL301" s="6" t="str">
        <f t="shared" si="13"/>
        <v>Kirtland Hills</v>
      </c>
      <c r="AM301" s="6" t="b">
        <f t="shared" si="14"/>
        <v>1</v>
      </c>
    </row>
    <row r="302" spans="1:39" x14ac:dyDescent="0.2">
      <c r="A302" s="6" t="s">
        <v>838</v>
      </c>
      <c r="C302" s="6" t="s">
        <v>430</v>
      </c>
      <c r="E302" s="49">
        <v>95106.44</v>
      </c>
      <c r="F302" s="49"/>
      <c r="G302" s="49">
        <v>0</v>
      </c>
      <c r="H302" s="49"/>
      <c r="I302" s="49">
        <v>162429.85</v>
      </c>
      <c r="J302" s="49"/>
      <c r="K302" s="49">
        <v>0</v>
      </c>
      <c r="L302" s="49"/>
      <c r="M302" s="49">
        <v>32325.78</v>
      </c>
      <c r="N302" s="49"/>
      <c r="O302" s="49">
        <v>4539.2</v>
      </c>
      <c r="P302" s="49"/>
      <c r="Q302" s="49">
        <v>328.5</v>
      </c>
      <c r="R302" s="49"/>
      <c r="S302" s="49">
        <v>5382.36</v>
      </c>
      <c r="T302" s="49"/>
      <c r="U302" s="49">
        <v>0</v>
      </c>
      <c r="V302" s="49"/>
      <c r="W302" s="49">
        <v>0</v>
      </c>
      <c r="X302" s="49"/>
      <c r="Y302" s="49">
        <v>0</v>
      </c>
      <c r="Z302" s="49"/>
      <c r="AA302" s="49">
        <v>0</v>
      </c>
      <c r="AB302" s="49"/>
      <c r="AC302" s="49">
        <v>0</v>
      </c>
      <c r="AD302" s="49"/>
      <c r="AE302" s="49">
        <v>0</v>
      </c>
      <c r="AF302" s="49"/>
      <c r="AG302" s="49">
        <v>0</v>
      </c>
      <c r="AH302" s="49"/>
      <c r="AI302" s="49">
        <f t="shared" si="15"/>
        <v>300112.13</v>
      </c>
      <c r="AK302" s="6" t="str">
        <f>'Gen Rev'!A302</f>
        <v>La Rue</v>
      </c>
      <c r="AL302" s="6" t="str">
        <f t="shared" si="13"/>
        <v>La Rue</v>
      </c>
      <c r="AM302" s="6" t="b">
        <f t="shared" si="14"/>
        <v>1</v>
      </c>
    </row>
    <row r="303" spans="1:39" x14ac:dyDescent="0.2">
      <c r="A303" s="6" t="s">
        <v>5</v>
      </c>
      <c r="C303" s="6" t="s">
        <v>651</v>
      </c>
      <c r="E303" s="49">
        <v>38980.949999999997</v>
      </c>
      <c r="F303" s="49"/>
      <c r="G303" s="49">
        <v>0</v>
      </c>
      <c r="H303" s="49"/>
      <c r="I303" s="49">
        <v>20057.650000000001</v>
      </c>
      <c r="J303" s="49"/>
      <c r="K303" s="49">
        <v>0</v>
      </c>
      <c r="L303" s="49"/>
      <c r="M303" s="49">
        <v>0</v>
      </c>
      <c r="N303" s="49"/>
      <c r="O303" s="49">
        <v>0</v>
      </c>
      <c r="P303" s="49"/>
      <c r="Q303" s="49">
        <v>5.46</v>
      </c>
      <c r="R303" s="49"/>
      <c r="S303" s="49">
        <v>3078.27</v>
      </c>
      <c r="T303" s="49"/>
      <c r="U303" s="49">
        <v>0</v>
      </c>
      <c r="V303" s="49"/>
      <c r="W303" s="49">
        <v>0</v>
      </c>
      <c r="X303" s="49"/>
      <c r="Y303" s="49">
        <v>0</v>
      </c>
      <c r="Z303" s="49"/>
      <c r="AA303" s="49">
        <v>6000</v>
      </c>
      <c r="AB303" s="49"/>
      <c r="AC303" s="49">
        <v>0</v>
      </c>
      <c r="AD303" s="49"/>
      <c r="AE303" s="49">
        <v>0</v>
      </c>
      <c r="AF303" s="49"/>
      <c r="AG303" s="49">
        <v>0</v>
      </c>
      <c r="AH303" s="49"/>
      <c r="AI303" s="49">
        <f t="shared" si="15"/>
        <v>68122.329999999987</v>
      </c>
      <c r="AK303" s="6" t="str">
        <f>'Gen Rev'!A303</f>
        <v>Lafayette</v>
      </c>
      <c r="AL303" s="6" t="str">
        <f t="shared" si="13"/>
        <v>Lafayette</v>
      </c>
      <c r="AM303" s="6" t="b">
        <f t="shared" si="14"/>
        <v>1</v>
      </c>
    </row>
    <row r="304" spans="1:39" x14ac:dyDescent="0.2">
      <c r="A304" s="6" t="s">
        <v>128</v>
      </c>
      <c r="C304" s="6" t="s">
        <v>419</v>
      </c>
      <c r="E304" s="49">
        <v>224213.94</v>
      </c>
      <c r="F304" s="49"/>
      <c r="G304" s="49">
        <v>932172.81</v>
      </c>
      <c r="H304" s="49"/>
      <c r="I304" s="49">
        <v>198501.93</v>
      </c>
      <c r="J304" s="49"/>
      <c r="K304" s="49">
        <v>0</v>
      </c>
      <c r="L304" s="49"/>
      <c r="M304" s="49">
        <v>146159.47</v>
      </c>
      <c r="N304" s="49"/>
      <c r="O304" s="49">
        <v>77067.289999999994</v>
      </c>
      <c r="P304" s="49"/>
      <c r="Q304" s="49">
        <v>1986.87</v>
      </c>
      <c r="R304" s="49"/>
      <c r="S304" s="49">
        <v>7948.95</v>
      </c>
      <c r="T304" s="49"/>
      <c r="U304" s="49">
        <v>0</v>
      </c>
      <c r="V304" s="49"/>
      <c r="W304" s="49">
        <v>0</v>
      </c>
      <c r="X304" s="49"/>
      <c r="Y304" s="49">
        <v>0</v>
      </c>
      <c r="Z304" s="49"/>
      <c r="AA304" s="49">
        <v>74231</v>
      </c>
      <c r="AB304" s="49"/>
      <c r="AC304" s="49">
        <v>0</v>
      </c>
      <c r="AD304" s="49"/>
      <c r="AE304" s="49">
        <v>0</v>
      </c>
      <c r="AF304" s="49"/>
      <c r="AG304" s="49">
        <v>0</v>
      </c>
      <c r="AH304" s="49"/>
      <c r="AI304" s="49">
        <f t="shared" si="15"/>
        <v>1662282.26</v>
      </c>
      <c r="AK304" s="6" t="str">
        <f>'Gen Rev'!A304</f>
        <v>Lagrange</v>
      </c>
      <c r="AL304" s="6" t="str">
        <f t="shared" si="13"/>
        <v>Lagrange</v>
      </c>
      <c r="AM304" s="6" t="b">
        <f t="shared" si="14"/>
        <v>1</v>
      </c>
    </row>
    <row r="305" spans="1:39" x14ac:dyDescent="0.2">
      <c r="A305" s="6" t="s">
        <v>646</v>
      </c>
      <c r="C305" s="6" t="s">
        <v>399</v>
      </c>
      <c r="E305" s="49">
        <v>41200.78</v>
      </c>
      <c r="F305" s="49"/>
      <c r="G305" s="49">
        <v>35270.65</v>
      </c>
      <c r="H305" s="49"/>
      <c r="I305" s="49">
        <v>33666.97</v>
      </c>
      <c r="J305" s="49"/>
      <c r="K305" s="49">
        <v>20223.46</v>
      </c>
      <c r="L305" s="49"/>
      <c r="M305" s="49">
        <v>0</v>
      </c>
      <c r="N305" s="49"/>
      <c r="O305" s="49">
        <v>3242</v>
      </c>
      <c r="P305" s="49"/>
      <c r="Q305" s="49">
        <v>71.27</v>
      </c>
      <c r="R305" s="49"/>
      <c r="S305" s="49">
        <v>0</v>
      </c>
      <c r="T305" s="49"/>
      <c r="U305" s="49">
        <v>0</v>
      </c>
      <c r="V305" s="49"/>
      <c r="W305" s="49">
        <v>0</v>
      </c>
      <c r="X305" s="49"/>
      <c r="Y305" s="49">
        <v>0</v>
      </c>
      <c r="Z305" s="49"/>
      <c r="AA305" s="49">
        <v>0</v>
      </c>
      <c r="AB305" s="49"/>
      <c r="AC305" s="49">
        <v>0</v>
      </c>
      <c r="AD305" s="49"/>
      <c r="AE305" s="49">
        <v>0</v>
      </c>
      <c r="AF305" s="49"/>
      <c r="AG305" s="49">
        <v>0</v>
      </c>
      <c r="AH305" s="49"/>
      <c r="AI305" s="49">
        <f t="shared" si="15"/>
        <v>133675.12999999998</v>
      </c>
      <c r="AK305" s="6" t="str">
        <f>'Gen Rev'!A305</f>
        <v>Lakeline</v>
      </c>
      <c r="AL305" s="6" t="str">
        <f t="shared" si="13"/>
        <v>Lakeline</v>
      </c>
      <c r="AM305" s="6" t="b">
        <f t="shared" si="14"/>
        <v>1</v>
      </c>
    </row>
    <row r="306" spans="1:39" x14ac:dyDescent="0.2">
      <c r="A306" s="6" t="s">
        <v>700</v>
      </c>
      <c r="C306" s="6" t="s">
        <v>511</v>
      </c>
      <c r="E306" s="49">
        <v>177289</v>
      </c>
      <c r="F306" s="49"/>
      <c r="G306" s="49">
        <v>822788</v>
      </c>
      <c r="H306" s="49"/>
      <c r="I306" s="49">
        <v>456107</v>
      </c>
      <c r="J306" s="49"/>
      <c r="K306" s="49">
        <v>0</v>
      </c>
      <c r="L306" s="49"/>
      <c r="M306" s="49">
        <v>164382</v>
      </c>
      <c r="N306" s="49"/>
      <c r="O306" s="49">
        <v>11472</v>
      </c>
      <c r="P306" s="49"/>
      <c r="Q306" s="49">
        <v>0</v>
      </c>
      <c r="R306" s="49"/>
      <c r="S306" s="49">
        <v>56497</v>
      </c>
      <c r="T306" s="49"/>
      <c r="U306" s="49">
        <v>0</v>
      </c>
      <c r="V306" s="49"/>
      <c r="W306" s="49">
        <v>0</v>
      </c>
      <c r="X306" s="49"/>
      <c r="Y306" s="49">
        <v>0</v>
      </c>
      <c r="Z306" s="49"/>
      <c r="AA306" s="49">
        <v>112573</v>
      </c>
      <c r="AB306" s="49"/>
      <c r="AC306" s="49">
        <v>110127</v>
      </c>
      <c r="AD306" s="49"/>
      <c r="AE306" s="49">
        <v>0</v>
      </c>
      <c r="AF306" s="49"/>
      <c r="AG306" s="49">
        <v>0</v>
      </c>
      <c r="AH306" s="49"/>
      <c r="AI306" s="49">
        <f t="shared" si="15"/>
        <v>1911235</v>
      </c>
      <c r="AK306" s="6" t="str">
        <f>'Gen Rev'!A306</f>
        <v>Lakemore</v>
      </c>
      <c r="AL306" s="6" t="str">
        <f t="shared" si="13"/>
        <v>Lakemore</v>
      </c>
      <c r="AM306" s="6" t="b">
        <f t="shared" si="14"/>
        <v>1</v>
      </c>
    </row>
    <row r="307" spans="1:39" x14ac:dyDescent="0.2">
      <c r="A307" s="6" t="s">
        <v>700</v>
      </c>
      <c r="C307" s="6" t="s">
        <v>511</v>
      </c>
      <c r="E307" s="49">
        <v>185287.69</v>
      </c>
      <c r="F307" s="49"/>
      <c r="G307" s="49">
        <v>822788.2</v>
      </c>
      <c r="H307" s="49"/>
      <c r="I307" s="49">
        <v>436109.15</v>
      </c>
      <c r="J307" s="49"/>
      <c r="K307" s="49">
        <v>0</v>
      </c>
      <c r="L307" s="49"/>
      <c r="M307" s="49">
        <v>157286.29999999999</v>
      </c>
      <c r="N307" s="49"/>
      <c r="O307" s="49">
        <v>62473.93</v>
      </c>
      <c r="P307" s="49"/>
      <c r="Q307" s="49">
        <v>0</v>
      </c>
      <c r="R307" s="49"/>
      <c r="S307" s="49">
        <v>14088.89</v>
      </c>
      <c r="T307" s="49"/>
      <c r="U307" s="49">
        <v>0</v>
      </c>
      <c r="V307" s="49"/>
      <c r="W307" s="49">
        <v>0</v>
      </c>
      <c r="X307" s="49"/>
      <c r="Y307" s="49">
        <v>10499</v>
      </c>
      <c r="Z307" s="49"/>
      <c r="AA307" s="49">
        <v>112573.48</v>
      </c>
      <c r="AB307" s="49"/>
      <c r="AC307" s="49">
        <v>110127.41</v>
      </c>
      <c r="AD307" s="49"/>
      <c r="AE307" s="49">
        <v>0</v>
      </c>
      <c r="AF307" s="49"/>
      <c r="AG307" s="49">
        <v>0</v>
      </c>
      <c r="AH307" s="49"/>
      <c r="AI307" s="49">
        <f t="shared" si="15"/>
        <v>1911234.0499999998</v>
      </c>
      <c r="AK307" s="6" t="str">
        <f>'Gen Rev'!A307</f>
        <v>Lakemore</v>
      </c>
      <c r="AL307" s="6" t="str">
        <f t="shared" si="13"/>
        <v>Lakemore</v>
      </c>
      <c r="AM307" s="6" t="b">
        <f t="shared" si="14"/>
        <v>1</v>
      </c>
    </row>
    <row r="308" spans="1:39" x14ac:dyDescent="0.2">
      <c r="A308" s="6" t="s">
        <v>645</v>
      </c>
      <c r="C308" s="6" t="s">
        <v>414</v>
      </c>
      <c r="E308" s="49">
        <v>37536.74</v>
      </c>
      <c r="F308" s="49"/>
      <c r="G308" s="49">
        <v>196044.2</v>
      </c>
      <c r="H308" s="49"/>
      <c r="I308" s="49">
        <v>84964.94</v>
      </c>
      <c r="J308" s="49"/>
      <c r="K308" s="49">
        <v>0</v>
      </c>
      <c r="L308" s="49"/>
      <c r="M308" s="49">
        <v>162320.66</v>
      </c>
      <c r="N308" s="49"/>
      <c r="O308" s="49">
        <v>7876.35</v>
      </c>
      <c r="P308" s="49"/>
      <c r="Q308" s="49">
        <v>3478.12</v>
      </c>
      <c r="R308" s="49"/>
      <c r="S308" s="49">
        <v>71942.61</v>
      </c>
      <c r="T308" s="49"/>
      <c r="U308" s="49">
        <v>0</v>
      </c>
      <c r="V308" s="49"/>
      <c r="W308" s="49">
        <v>0</v>
      </c>
      <c r="X308" s="49"/>
      <c r="Y308" s="49">
        <v>0</v>
      </c>
      <c r="Z308" s="49"/>
      <c r="AA308" s="49">
        <v>0</v>
      </c>
      <c r="AB308" s="49"/>
      <c r="AC308" s="49">
        <v>0</v>
      </c>
      <c r="AD308" s="49"/>
      <c r="AE308" s="49">
        <v>0</v>
      </c>
      <c r="AF308" s="49"/>
      <c r="AG308" s="49">
        <v>0</v>
      </c>
      <c r="AH308" s="49"/>
      <c r="AI308" s="49">
        <f t="shared" si="15"/>
        <v>564163.62</v>
      </c>
      <c r="AK308" s="6" t="str">
        <f>'Gen Rev'!A308</f>
        <v>Lakeview</v>
      </c>
      <c r="AL308" s="6" t="str">
        <f t="shared" si="13"/>
        <v>Lakeview</v>
      </c>
      <c r="AM308" s="6" t="b">
        <f t="shared" si="14"/>
        <v>1</v>
      </c>
    </row>
    <row r="309" spans="1:39" x14ac:dyDescent="0.2">
      <c r="A309" s="6" t="s">
        <v>170</v>
      </c>
      <c r="C309" s="6" t="s">
        <v>460</v>
      </c>
      <c r="E309" s="49">
        <v>18051.05</v>
      </c>
      <c r="F309" s="49"/>
      <c r="G309" s="49">
        <v>0</v>
      </c>
      <c r="H309" s="49"/>
      <c r="I309" s="49">
        <v>36297.93</v>
      </c>
      <c r="J309" s="49"/>
      <c r="K309" s="49">
        <v>0</v>
      </c>
      <c r="L309" s="49"/>
      <c r="M309" s="49">
        <v>0</v>
      </c>
      <c r="N309" s="49"/>
      <c r="O309" s="49">
        <v>0</v>
      </c>
      <c r="P309" s="49"/>
      <c r="Q309" s="49">
        <v>26.12</v>
      </c>
      <c r="R309" s="49"/>
      <c r="S309" s="49">
        <v>1130.44</v>
      </c>
      <c r="T309" s="49"/>
      <c r="U309" s="49">
        <v>0</v>
      </c>
      <c r="V309" s="49"/>
      <c r="W309" s="49">
        <v>0</v>
      </c>
      <c r="X309" s="49"/>
      <c r="Y309" s="49">
        <v>0</v>
      </c>
      <c r="Z309" s="49"/>
      <c r="AA309" s="49">
        <v>750</v>
      </c>
      <c r="AB309" s="49"/>
      <c r="AC309" s="49">
        <v>0</v>
      </c>
      <c r="AD309" s="49"/>
      <c r="AE309" s="49">
        <v>4935.53</v>
      </c>
      <c r="AF309" s="49"/>
      <c r="AG309" s="49">
        <v>0</v>
      </c>
      <c r="AH309" s="49"/>
      <c r="AI309" s="49">
        <f t="shared" si="15"/>
        <v>61191.07</v>
      </c>
      <c r="AK309" s="6" t="str">
        <f>'Gen Rev'!A309</f>
        <v>Latty</v>
      </c>
      <c r="AL309" s="6" t="str">
        <f t="shared" si="13"/>
        <v>Latty</v>
      </c>
      <c r="AM309" s="6" t="b">
        <f t="shared" si="14"/>
        <v>1</v>
      </c>
    </row>
    <row r="310" spans="1:39" x14ac:dyDescent="0.2">
      <c r="A310" s="6" t="s">
        <v>149</v>
      </c>
      <c r="C310" s="6" t="s">
        <v>437</v>
      </c>
      <c r="E310" s="49">
        <v>17119.63</v>
      </c>
      <c r="F310" s="49"/>
      <c r="G310" s="49">
        <v>0</v>
      </c>
      <c r="H310" s="49"/>
      <c r="I310" s="49">
        <v>70120.36</v>
      </c>
      <c r="J310" s="49"/>
      <c r="K310" s="49">
        <v>6474.53</v>
      </c>
      <c r="L310" s="49"/>
      <c r="M310" s="49">
        <v>0</v>
      </c>
      <c r="N310" s="49"/>
      <c r="O310" s="49">
        <v>2000.21</v>
      </c>
      <c r="P310" s="49"/>
      <c r="Q310" s="49">
        <v>0</v>
      </c>
      <c r="R310" s="49"/>
      <c r="S310" s="49">
        <v>748.06</v>
      </c>
      <c r="T310" s="49"/>
      <c r="U310" s="49">
        <v>0</v>
      </c>
      <c r="V310" s="49"/>
      <c r="W310" s="49">
        <v>0</v>
      </c>
      <c r="X310" s="49"/>
      <c r="Y310" s="49">
        <v>0</v>
      </c>
      <c r="Z310" s="49"/>
      <c r="AA310" s="49">
        <v>0</v>
      </c>
      <c r="AB310" s="49"/>
      <c r="AC310" s="49">
        <v>0</v>
      </c>
      <c r="AD310" s="49"/>
      <c r="AE310" s="49">
        <v>0</v>
      </c>
      <c r="AF310" s="49"/>
      <c r="AG310" s="49">
        <v>0</v>
      </c>
      <c r="AH310" s="49"/>
      <c r="AI310" s="49">
        <f t="shared" si="15"/>
        <v>96462.790000000008</v>
      </c>
      <c r="AK310" s="6" t="str">
        <f>'Gen Rev'!A310</f>
        <v>Laura</v>
      </c>
      <c r="AL310" s="6" t="str">
        <f t="shared" si="13"/>
        <v>Laura</v>
      </c>
      <c r="AM310" s="6" t="b">
        <f t="shared" si="14"/>
        <v>1</v>
      </c>
    </row>
    <row r="311" spans="1:39" x14ac:dyDescent="0.2">
      <c r="A311" s="6" t="s">
        <v>106</v>
      </c>
      <c r="C311" s="6" t="s">
        <v>790</v>
      </c>
      <c r="E311" s="49">
        <v>51530.18</v>
      </c>
      <c r="F311" s="49"/>
      <c r="G311" s="49">
        <v>0</v>
      </c>
      <c r="H311" s="49"/>
      <c r="I311" s="49">
        <v>41574.82</v>
      </c>
      <c r="J311" s="49"/>
      <c r="K311" s="49">
        <v>0</v>
      </c>
      <c r="L311" s="49"/>
      <c r="M311" s="49">
        <v>206608.77</v>
      </c>
      <c r="N311" s="49"/>
      <c r="O311" s="49">
        <v>23097.5</v>
      </c>
      <c r="P311" s="49"/>
      <c r="Q311" s="49">
        <v>1062.07</v>
      </c>
      <c r="R311" s="49"/>
      <c r="S311" s="49">
        <v>3479.72</v>
      </c>
      <c r="T311" s="49"/>
      <c r="U311" s="49">
        <v>0</v>
      </c>
      <c r="V311" s="49"/>
      <c r="W311" s="49">
        <v>0</v>
      </c>
      <c r="X311" s="49"/>
      <c r="Y311" s="49">
        <v>0</v>
      </c>
      <c r="Z311" s="49"/>
      <c r="AA311" s="49">
        <v>3796</v>
      </c>
      <c r="AB311" s="49"/>
      <c r="AC311" s="49">
        <v>0</v>
      </c>
      <c r="AD311" s="49"/>
      <c r="AE311" s="49">
        <v>70000</v>
      </c>
      <c r="AF311" s="49"/>
      <c r="AG311" s="49">
        <v>0</v>
      </c>
      <c r="AH311" s="49"/>
      <c r="AI311" s="49">
        <f t="shared" si="15"/>
        <v>401149.06</v>
      </c>
      <c r="AK311" s="6" t="str">
        <f>'Gen Rev'!A311</f>
        <v>Laurelville</v>
      </c>
      <c r="AL311" s="6" t="str">
        <f t="shared" si="13"/>
        <v>Laurelville</v>
      </c>
      <c r="AM311" s="6" t="b">
        <f t="shared" si="14"/>
        <v>1</v>
      </c>
    </row>
    <row r="312" spans="1:39" x14ac:dyDescent="0.2">
      <c r="A312" s="6" t="s">
        <v>802</v>
      </c>
      <c r="C312" s="6" t="s">
        <v>379</v>
      </c>
      <c r="E312" s="49">
        <v>16721.61</v>
      </c>
      <c r="F312" s="49"/>
      <c r="G312" s="49">
        <v>375091.22</v>
      </c>
      <c r="H312" s="49"/>
      <c r="I312" s="49">
        <v>81197.919999999998</v>
      </c>
      <c r="J312" s="49"/>
      <c r="K312" s="49">
        <v>24068.15</v>
      </c>
      <c r="L312" s="49"/>
      <c r="M312" s="49">
        <v>18</v>
      </c>
      <c r="N312" s="49"/>
      <c r="O312" s="49">
        <v>3677</v>
      </c>
      <c r="P312" s="49"/>
      <c r="Q312" s="49">
        <v>2669.73</v>
      </c>
      <c r="R312" s="49"/>
      <c r="S312" s="49">
        <v>14480.72</v>
      </c>
      <c r="T312" s="49"/>
      <c r="U312" s="49">
        <v>0</v>
      </c>
      <c r="V312" s="49"/>
      <c r="W312" s="49">
        <v>0</v>
      </c>
      <c r="X312" s="49"/>
      <c r="Y312" s="49">
        <v>0</v>
      </c>
      <c r="Z312" s="49"/>
      <c r="AA312" s="49">
        <v>0</v>
      </c>
      <c r="AB312" s="49"/>
      <c r="AC312" s="49">
        <v>0</v>
      </c>
      <c r="AD312" s="49"/>
      <c r="AE312" s="49">
        <v>0</v>
      </c>
      <c r="AF312" s="49"/>
      <c r="AG312" s="49">
        <v>0</v>
      </c>
      <c r="AH312" s="49"/>
      <c r="AI312" s="49">
        <f t="shared" si="15"/>
        <v>517924.34999999992</v>
      </c>
      <c r="AK312" s="6" t="str">
        <f>'Gen Rev'!A312</f>
        <v>Leesburg</v>
      </c>
      <c r="AL312" s="6" t="str">
        <f t="shared" si="13"/>
        <v>Leesburg</v>
      </c>
      <c r="AM312" s="6" t="b">
        <f t="shared" si="14"/>
        <v>1</v>
      </c>
    </row>
    <row r="313" spans="1:39" x14ac:dyDescent="0.2">
      <c r="A313" s="6" t="s">
        <v>28</v>
      </c>
      <c r="C313" s="6" t="s">
        <v>57</v>
      </c>
      <c r="E313" s="49">
        <v>11330.74</v>
      </c>
      <c r="F313" s="49"/>
      <c r="G313" s="49">
        <v>0</v>
      </c>
      <c r="H313" s="49"/>
      <c r="I313" s="49">
        <v>23663.72</v>
      </c>
      <c r="J313" s="49"/>
      <c r="K313" s="49">
        <v>0</v>
      </c>
      <c r="L313" s="49"/>
      <c r="M313" s="49">
        <v>0</v>
      </c>
      <c r="N313" s="49"/>
      <c r="O313" s="49">
        <v>0</v>
      </c>
      <c r="P313" s="49"/>
      <c r="Q313" s="49">
        <v>28.95</v>
      </c>
      <c r="R313" s="49"/>
      <c r="S313" s="49">
        <v>0</v>
      </c>
      <c r="T313" s="49"/>
      <c r="U313" s="49">
        <v>0</v>
      </c>
      <c r="V313" s="49"/>
      <c r="W313" s="49">
        <v>0</v>
      </c>
      <c r="X313" s="49"/>
      <c r="Y313" s="49">
        <v>0</v>
      </c>
      <c r="Z313" s="49"/>
      <c r="AA313" s="49">
        <v>0</v>
      </c>
      <c r="AB313" s="49"/>
      <c r="AC313" s="49">
        <v>0</v>
      </c>
      <c r="AD313" s="49"/>
      <c r="AE313" s="49">
        <v>0</v>
      </c>
      <c r="AF313" s="49"/>
      <c r="AG313" s="49">
        <v>0</v>
      </c>
      <c r="AH313" s="49"/>
      <c r="AI313" s="49">
        <f t="shared" si="15"/>
        <v>35023.409999999996</v>
      </c>
      <c r="AK313" s="6" t="str">
        <f>'Gen Rev'!A313</f>
        <v>Leesville</v>
      </c>
      <c r="AL313" s="6" t="str">
        <f t="shared" si="13"/>
        <v>Leesville</v>
      </c>
      <c r="AM313" s="6" t="b">
        <f t="shared" si="14"/>
        <v>1</v>
      </c>
    </row>
    <row r="314" spans="1:39" x14ac:dyDescent="0.2">
      <c r="A314" s="6" t="s">
        <v>41</v>
      </c>
      <c r="C314" s="6" t="s">
        <v>283</v>
      </c>
      <c r="E314" s="49">
        <v>79694.19</v>
      </c>
      <c r="F314" s="49"/>
      <c r="G314" s="49">
        <v>633132.01</v>
      </c>
      <c r="H314" s="49"/>
      <c r="I314" s="49">
        <v>155863.76999999999</v>
      </c>
      <c r="J314" s="49"/>
      <c r="K314" s="49">
        <v>0</v>
      </c>
      <c r="L314" s="49"/>
      <c r="M314" s="49">
        <v>169485.8</v>
      </c>
      <c r="N314" s="49"/>
      <c r="O314" s="49">
        <v>37824.85</v>
      </c>
      <c r="P314" s="49"/>
      <c r="Q314" s="49">
        <v>315.14</v>
      </c>
      <c r="R314" s="49"/>
      <c r="S314" s="49">
        <v>25134.83</v>
      </c>
      <c r="T314" s="49"/>
      <c r="U314" s="49">
        <v>0</v>
      </c>
      <c r="V314" s="49"/>
      <c r="W314" s="49">
        <v>0</v>
      </c>
      <c r="X314" s="49"/>
      <c r="Y314" s="49">
        <v>475</v>
      </c>
      <c r="Z314" s="49"/>
      <c r="AA314" s="49">
        <v>500000</v>
      </c>
      <c r="AB314" s="49"/>
      <c r="AC314" s="49">
        <v>35005</v>
      </c>
      <c r="AD314" s="49"/>
      <c r="AE314" s="49">
        <v>2974.38</v>
      </c>
      <c r="AF314" s="49"/>
      <c r="AG314" s="49">
        <v>13995</v>
      </c>
      <c r="AH314" s="49"/>
      <c r="AI314" s="49">
        <f t="shared" si="15"/>
        <v>1653899.97</v>
      </c>
      <c r="AK314" s="6" t="str">
        <f>'Gen Rev'!A314</f>
        <v>Leetonia</v>
      </c>
      <c r="AL314" s="6" t="str">
        <f t="shared" si="13"/>
        <v>Leetonia</v>
      </c>
      <c r="AM314" s="6" t="b">
        <f t="shared" si="14"/>
        <v>1</v>
      </c>
    </row>
    <row r="315" spans="1:39" x14ac:dyDescent="0.2">
      <c r="A315" s="6" t="s">
        <v>771</v>
      </c>
      <c r="C315" s="6" t="s">
        <v>476</v>
      </c>
      <c r="E315" s="49">
        <v>711183</v>
      </c>
      <c r="F315" s="49"/>
      <c r="G315" s="49">
        <v>2130447</v>
      </c>
      <c r="H315" s="49"/>
      <c r="I315" s="49">
        <v>0</v>
      </c>
      <c r="J315" s="49"/>
      <c r="K315" s="49">
        <v>753956</v>
      </c>
      <c r="L315" s="49"/>
      <c r="M315" s="49">
        <v>2356146</v>
      </c>
      <c r="N315" s="49"/>
      <c r="O315" s="49">
        <v>11954</v>
      </c>
      <c r="P315" s="49"/>
      <c r="Q315" s="49">
        <v>23054</v>
      </c>
      <c r="R315" s="49"/>
      <c r="S315" s="49">
        <v>63688</v>
      </c>
      <c r="T315" s="49"/>
      <c r="U315" s="49">
        <v>0</v>
      </c>
      <c r="V315" s="49"/>
      <c r="W315" s="49">
        <v>0</v>
      </c>
      <c r="X315" s="49"/>
      <c r="Y315" s="49">
        <v>0</v>
      </c>
      <c r="Z315" s="49"/>
      <c r="AA315" s="49">
        <v>2909911</v>
      </c>
      <c r="AB315" s="49"/>
      <c r="AC315" s="49">
        <v>0</v>
      </c>
      <c r="AD315" s="49"/>
      <c r="AE315" s="49">
        <v>0</v>
      </c>
      <c r="AF315" s="49"/>
      <c r="AG315" s="49">
        <v>0</v>
      </c>
      <c r="AH315" s="49"/>
      <c r="AI315" s="49">
        <f t="shared" si="15"/>
        <v>8960339</v>
      </c>
      <c r="AK315" s="6" t="str">
        <f>'Gen Rev'!A315</f>
        <v>Leipsic</v>
      </c>
      <c r="AL315" s="6" t="str">
        <f t="shared" si="13"/>
        <v>Leipsic</v>
      </c>
      <c r="AM315" s="6" t="b">
        <f t="shared" si="14"/>
        <v>1</v>
      </c>
    </row>
    <row r="316" spans="1:39" x14ac:dyDescent="0.2">
      <c r="A316" s="8" t="s">
        <v>471</v>
      </c>
      <c r="B316" s="8"/>
      <c r="C316" s="8" t="s">
        <v>472</v>
      </c>
      <c r="D316" s="8"/>
      <c r="E316" s="49">
        <v>196450</v>
      </c>
      <c r="F316" s="49"/>
      <c r="G316" s="49">
        <v>816195</v>
      </c>
      <c r="H316" s="49"/>
      <c r="I316" s="49">
        <v>484333</v>
      </c>
      <c r="J316" s="49"/>
      <c r="K316" s="49">
        <v>0</v>
      </c>
      <c r="L316" s="49"/>
      <c r="M316" s="49">
        <v>285567</v>
      </c>
      <c r="N316" s="49"/>
      <c r="O316" s="49">
        <v>1196</v>
      </c>
      <c r="P316" s="49"/>
      <c r="Q316" s="49">
        <v>641</v>
      </c>
      <c r="R316" s="49"/>
      <c r="S316" s="49">
        <v>45166</v>
      </c>
      <c r="T316" s="49"/>
      <c r="U316" s="49">
        <v>0</v>
      </c>
      <c r="V316" s="49"/>
      <c r="W316" s="49">
        <v>0</v>
      </c>
      <c r="X316" s="49"/>
      <c r="Y316" s="49">
        <v>0</v>
      </c>
      <c r="Z316" s="49"/>
      <c r="AA316" s="49">
        <v>433983</v>
      </c>
      <c r="AB316" s="49"/>
      <c r="AC316" s="49">
        <v>0</v>
      </c>
      <c r="AD316" s="49"/>
      <c r="AE316" s="49">
        <v>18287</v>
      </c>
      <c r="AF316" s="49"/>
      <c r="AG316" s="49">
        <v>0</v>
      </c>
      <c r="AH316" s="49"/>
      <c r="AI316" s="49">
        <f t="shared" si="15"/>
        <v>2281818</v>
      </c>
      <c r="AK316" s="6" t="str">
        <f>'Gen Rev'!A316</f>
        <v>Lewisburg</v>
      </c>
      <c r="AL316" s="6" t="str">
        <f t="shared" si="13"/>
        <v>Lewisburg</v>
      </c>
      <c r="AM316" s="6" t="b">
        <f t="shared" si="14"/>
        <v>1</v>
      </c>
    </row>
    <row r="317" spans="1:39" x14ac:dyDescent="0.2">
      <c r="A317" s="6" t="s">
        <v>482</v>
      </c>
      <c r="C317" s="6" t="s">
        <v>481</v>
      </c>
      <c r="E317" s="49">
        <v>2404875</v>
      </c>
      <c r="F317" s="49"/>
      <c r="G317" s="49">
        <v>0</v>
      </c>
      <c r="H317" s="49"/>
      <c r="I317" s="49">
        <v>0</v>
      </c>
      <c r="J317" s="49"/>
      <c r="K317" s="49">
        <v>0</v>
      </c>
      <c r="L317" s="49"/>
      <c r="M317" s="49">
        <v>276648</v>
      </c>
      <c r="N317" s="49"/>
      <c r="O317" s="49">
        <v>65705</v>
      </c>
      <c r="P317" s="49"/>
      <c r="Q317" s="49">
        <v>8282</v>
      </c>
      <c r="R317" s="49"/>
      <c r="S317" s="49">
        <v>181309</v>
      </c>
      <c r="T317" s="49"/>
      <c r="U317" s="49">
        <v>0</v>
      </c>
      <c r="V317" s="49"/>
      <c r="W317" s="49">
        <v>0</v>
      </c>
      <c r="X317" s="49"/>
      <c r="Y317" s="49">
        <v>0</v>
      </c>
      <c r="Z317" s="49"/>
      <c r="AA317" s="49">
        <v>0</v>
      </c>
      <c r="AB317" s="49"/>
      <c r="AC317" s="49">
        <v>0</v>
      </c>
      <c r="AD317" s="49"/>
      <c r="AE317" s="49">
        <v>459424</v>
      </c>
      <c r="AF317" s="49"/>
      <c r="AG317" s="49">
        <v>0</v>
      </c>
      <c r="AH317" s="49"/>
      <c r="AI317" s="49">
        <f t="shared" si="15"/>
        <v>3396243</v>
      </c>
      <c r="AK317" s="6" t="str">
        <f>'Gen Rev'!A317</f>
        <v>Lexington</v>
      </c>
      <c r="AL317" s="6" t="str">
        <f t="shared" si="13"/>
        <v>Lexington</v>
      </c>
      <c r="AM317" s="6" t="b">
        <f t="shared" si="14"/>
        <v>1</v>
      </c>
    </row>
    <row r="318" spans="1:39" x14ac:dyDescent="0.2">
      <c r="A318" s="6" t="s">
        <v>101</v>
      </c>
      <c r="C318" s="6" t="s">
        <v>377</v>
      </c>
      <c r="E318" s="49">
        <v>31106.82</v>
      </c>
      <c r="F318" s="49"/>
      <c r="G318" s="49">
        <v>190818.53</v>
      </c>
      <c r="H318" s="49"/>
      <c r="I318" s="49">
        <v>284466.89</v>
      </c>
      <c r="J318" s="49"/>
      <c r="K318" s="49">
        <v>0</v>
      </c>
      <c r="L318" s="49"/>
      <c r="M318" s="49">
        <v>14726.74</v>
      </c>
      <c r="N318" s="49"/>
      <c r="O318" s="49">
        <v>9630.91</v>
      </c>
      <c r="P318" s="49"/>
      <c r="Q318" s="49">
        <v>3141.5</v>
      </c>
      <c r="R318" s="49"/>
      <c r="S318" s="49">
        <v>12378.31</v>
      </c>
      <c r="T318" s="49"/>
      <c r="U318" s="49">
        <v>0</v>
      </c>
      <c r="V318" s="49"/>
      <c r="W318" s="49">
        <v>0</v>
      </c>
      <c r="X318" s="49"/>
      <c r="Y318" s="49">
        <v>0</v>
      </c>
      <c r="Z318" s="49"/>
      <c r="AA318" s="49">
        <v>4704.74</v>
      </c>
      <c r="AB318" s="49"/>
      <c r="AC318" s="49">
        <v>0</v>
      </c>
      <c r="AD318" s="49"/>
      <c r="AE318" s="49">
        <v>281869.68</v>
      </c>
      <c r="AF318" s="49"/>
      <c r="AG318" s="49">
        <v>0</v>
      </c>
      <c r="AH318" s="49"/>
      <c r="AI318" s="49">
        <f t="shared" si="15"/>
        <v>832844.12000000011</v>
      </c>
      <c r="AK318" s="6" t="str">
        <f>'Gen Rev'!A318</f>
        <v>Liberty Center</v>
      </c>
      <c r="AL318" s="6" t="str">
        <f t="shared" si="13"/>
        <v>Liberty Center</v>
      </c>
      <c r="AM318" s="6" t="b">
        <f t="shared" si="14"/>
        <v>1</v>
      </c>
    </row>
    <row r="319" spans="1:39" x14ac:dyDescent="0.2">
      <c r="A319" s="6" t="s">
        <v>211</v>
      </c>
      <c r="C319" s="6" t="s">
        <v>502</v>
      </c>
      <c r="E319" s="49">
        <v>11117.85</v>
      </c>
      <c r="F319" s="49"/>
      <c r="G319" s="49">
        <v>0</v>
      </c>
      <c r="H319" s="49"/>
      <c r="I319" s="49">
        <v>6555.84</v>
      </c>
      <c r="J319" s="49"/>
      <c r="K319" s="49">
        <v>0</v>
      </c>
      <c r="L319" s="49"/>
      <c r="M319" s="49">
        <v>1435</v>
      </c>
      <c r="N319" s="49"/>
      <c r="O319" s="49">
        <v>2631.59</v>
      </c>
      <c r="P319" s="49"/>
      <c r="Q319" s="49">
        <v>6.42</v>
      </c>
      <c r="R319" s="49"/>
      <c r="S319" s="49">
        <v>225</v>
      </c>
      <c r="T319" s="49"/>
      <c r="U319" s="49">
        <v>0</v>
      </c>
      <c r="V319" s="49"/>
      <c r="W319" s="49">
        <v>0</v>
      </c>
      <c r="X319" s="49"/>
      <c r="Y319" s="49">
        <v>0</v>
      </c>
      <c r="Z319" s="49"/>
      <c r="AA319" s="49">
        <v>0</v>
      </c>
      <c r="AB319" s="49"/>
      <c r="AC319" s="49">
        <v>0</v>
      </c>
      <c r="AD319" s="49"/>
      <c r="AE319" s="49">
        <v>0</v>
      </c>
      <c r="AF319" s="49"/>
      <c r="AG319" s="49">
        <v>0</v>
      </c>
      <c r="AH319" s="49"/>
      <c r="AI319" s="49">
        <f t="shared" si="15"/>
        <v>21971.7</v>
      </c>
      <c r="AK319" s="6" t="str">
        <f>'Gen Rev'!A319</f>
        <v>Limaville</v>
      </c>
      <c r="AL319" s="6" t="str">
        <f t="shared" si="13"/>
        <v>Limaville</v>
      </c>
      <c r="AM319" s="6" t="b">
        <f t="shared" si="14"/>
        <v>1</v>
      </c>
    </row>
    <row r="320" spans="1:39" x14ac:dyDescent="0.2">
      <c r="A320" s="6" t="s">
        <v>356</v>
      </c>
      <c r="C320" s="6" t="s">
        <v>351</v>
      </c>
      <c r="E320" s="49">
        <v>934317</v>
      </c>
      <c r="F320" s="49"/>
      <c r="G320" s="49">
        <v>543994</v>
      </c>
      <c r="H320" s="49"/>
      <c r="I320" s="49">
        <v>794412</v>
      </c>
      <c r="J320" s="49"/>
      <c r="K320" s="49">
        <v>122</v>
      </c>
      <c r="L320" s="49"/>
      <c r="M320" s="49">
        <v>112061</v>
      </c>
      <c r="N320" s="49"/>
      <c r="O320" s="49">
        <v>256761</v>
      </c>
      <c r="P320" s="49"/>
      <c r="Q320" s="49">
        <v>37</v>
      </c>
      <c r="R320" s="49"/>
      <c r="S320" s="49">
        <v>56726</v>
      </c>
      <c r="T320" s="49"/>
      <c r="U320" s="49">
        <v>0</v>
      </c>
      <c r="V320" s="49"/>
      <c r="W320" s="49">
        <v>0</v>
      </c>
      <c r="X320" s="49"/>
      <c r="Y320" s="49">
        <v>0</v>
      </c>
      <c r="Z320" s="49"/>
      <c r="AA320" s="49">
        <v>50021</v>
      </c>
      <c r="AB320" s="49"/>
      <c r="AC320" s="49">
        <v>0</v>
      </c>
      <c r="AD320" s="49"/>
      <c r="AE320" s="49">
        <v>0</v>
      </c>
      <c r="AF320" s="49"/>
      <c r="AG320" s="49">
        <v>0</v>
      </c>
      <c r="AH320" s="49"/>
      <c r="AI320" s="49">
        <f t="shared" si="15"/>
        <v>2748451</v>
      </c>
      <c r="AK320" s="6" t="str">
        <f>'Gen Rev'!A320</f>
        <v>Lincoln Heights</v>
      </c>
      <c r="AL320" s="6" t="str">
        <f t="shared" si="13"/>
        <v>Lincoln Heights</v>
      </c>
      <c r="AM320" s="6" t="b">
        <f t="shared" si="14"/>
        <v>1</v>
      </c>
    </row>
    <row r="321" spans="1:39" x14ac:dyDescent="0.2">
      <c r="A321" s="6" t="s">
        <v>200</v>
      </c>
      <c r="C321" s="6" t="s">
        <v>487</v>
      </c>
      <c r="E321" s="49">
        <v>37523.19</v>
      </c>
      <c r="F321" s="49"/>
      <c r="G321" s="49">
        <v>0</v>
      </c>
      <c r="H321" s="49"/>
      <c r="I321" s="49">
        <v>584471.12</v>
      </c>
      <c r="J321" s="49"/>
      <c r="K321" s="49">
        <v>0</v>
      </c>
      <c r="L321" s="49"/>
      <c r="M321" s="49">
        <v>94595</v>
      </c>
      <c r="N321" s="49"/>
      <c r="O321" s="49">
        <v>60</v>
      </c>
      <c r="P321" s="49"/>
      <c r="Q321" s="49">
        <v>315.45</v>
      </c>
      <c r="R321" s="49"/>
      <c r="S321" s="49">
        <v>3000.46</v>
      </c>
      <c r="T321" s="49"/>
      <c r="U321" s="49">
        <v>0</v>
      </c>
      <c r="V321" s="49"/>
      <c r="W321" s="49">
        <v>0</v>
      </c>
      <c r="X321" s="49"/>
      <c r="Y321" s="49">
        <v>0</v>
      </c>
      <c r="Z321" s="49"/>
      <c r="AA321" s="49">
        <v>0</v>
      </c>
      <c r="AB321" s="49"/>
      <c r="AC321" s="49">
        <v>0</v>
      </c>
      <c r="AD321" s="49"/>
      <c r="AE321" s="49">
        <v>0</v>
      </c>
      <c r="AF321" s="49"/>
      <c r="AG321" s="49">
        <v>0</v>
      </c>
      <c r="AH321" s="49"/>
      <c r="AI321" s="49">
        <f t="shared" si="15"/>
        <v>719965.22</v>
      </c>
      <c r="AK321" s="6" t="str">
        <f>'Gen Rev'!A321</f>
        <v>Lindsey</v>
      </c>
      <c r="AL321" s="6" t="str">
        <f t="shared" si="13"/>
        <v>Lindsey</v>
      </c>
      <c r="AM321" s="6" t="b">
        <f t="shared" si="14"/>
        <v>1</v>
      </c>
    </row>
    <row r="322" spans="1:39" x14ac:dyDescent="0.2">
      <c r="A322" s="6" t="s">
        <v>716</v>
      </c>
      <c r="C322" s="6" t="s">
        <v>293</v>
      </c>
      <c r="E322" s="49">
        <v>6565.71</v>
      </c>
      <c r="F322" s="49"/>
      <c r="G322" s="49">
        <v>66801.7</v>
      </c>
      <c r="H322" s="49"/>
      <c r="I322" s="49">
        <v>19184.45</v>
      </c>
      <c r="J322" s="49"/>
      <c r="K322" s="49">
        <v>0</v>
      </c>
      <c r="L322" s="49"/>
      <c r="M322" s="49">
        <v>10775.9</v>
      </c>
      <c r="N322" s="49"/>
      <c r="O322" s="49">
        <v>476151.4</v>
      </c>
      <c r="P322" s="49"/>
      <c r="Q322" s="49">
        <v>0.52</v>
      </c>
      <c r="R322" s="49"/>
      <c r="S322" s="49">
        <v>40671.85</v>
      </c>
      <c r="T322" s="49"/>
      <c r="U322" s="49">
        <v>0</v>
      </c>
      <c r="V322" s="49"/>
      <c r="W322" s="49">
        <v>0</v>
      </c>
      <c r="X322" s="49"/>
      <c r="Y322" s="49">
        <v>0</v>
      </c>
      <c r="Z322" s="49"/>
      <c r="AA322" s="49">
        <v>31000</v>
      </c>
      <c r="AB322" s="49"/>
      <c r="AC322" s="49">
        <v>33272.32</v>
      </c>
      <c r="AD322" s="49"/>
      <c r="AE322" s="49">
        <v>0</v>
      </c>
      <c r="AF322" s="49"/>
      <c r="AG322" s="49">
        <v>0</v>
      </c>
      <c r="AH322" s="49"/>
      <c r="AI322" s="49">
        <f t="shared" si="15"/>
        <v>684423.85</v>
      </c>
      <c r="AK322" s="6" t="str">
        <f>'Gen Rev'!A322</f>
        <v>Linndale</v>
      </c>
      <c r="AL322" s="6" t="str">
        <f t="shared" si="13"/>
        <v>Linndale</v>
      </c>
      <c r="AM322" s="6" t="b">
        <f t="shared" si="14"/>
        <v>1</v>
      </c>
    </row>
    <row r="323" spans="1:39" x14ac:dyDescent="0.2">
      <c r="A323" s="6" t="s">
        <v>42</v>
      </c>
      <c r="C323" s="6" t="s">
        <v>283</v>
      </c>
      <c r="E323" s="49">
        <v>171132.44</v>
      </c>
      <c r="F323" s="49"/>
      <c r="G323" s="49">
        <v>1113891.1399999999</v>
      </c>
      <c r="H323" s="49"/>
      <c r="I323" s="49">
        <v>393944.9</v>
      </c>
      <c r="J323" s="49"/>
      <c r="K323" s="49">
        <v>0</v>
      </c>
      <c r="L323" s="49"/>
      <c r="M323" s="49">
        <v>125163.73</v>
      </c>
      <c r="N323" s="49"/>
      <c r="O323" s="49">
        <v>32435.919999999998</v>
      </c>
      <c r="P323" s="49"/>
      <c r="Q323" s="49">
        <v>3645.62</v>
      </c>
      <c r="R323" s="49"/>
      <c r="S323" s="49">
        <v>15006.5</v>
      </c>
      <c r="T323" s="49"/>
      <c r="U323" s="49">
        <v>0</v>
      </c>
      <c r="V323" s="49"/>
      <c r="W323" s="49">
        <v>0</v>
      </c>
      <c r="X323" s="49"/>
      <c r="Y323" s="49">
        <v>0</v>
      </c>
      <c r="Z323" s="49"/>
      <c r="AA323" s="49">
        <v>223557.24</v>
      </c>
      <c r="AB323" s="49"/>
      <c r="AC323" s="49">
        <v>101506</v>
      </c>
      <c r="AD323" s="49"/>
      <c r="AE323" s="49">
        <v>42894.97</v>
      </c>
      <c r="AF323" s="49"/>
      <c r="AG323" s="49">
        <v>0</v>
      </c>
      <c r="AH323" s="49"/>
      <c r="AI323" s="49">
        <f t="shared" si="15"/>
        <v>2223178.4600000004</v>
      </c>
      <c r="AK323" s="6" t="str">
        <f>'Gen Rev'!A323</f>
        <v>Lisbon</v>
      </c>
      <c r="AL323" s="6" t="str">
        <f t="shared" si="13"/>
        <v>Lisbon</v>
      </c>
      <c r="AM323" s="6" t="b">
        <f t="shared" si="14"/>
        <v>1</v>
      </c>
    </row>
    <row r="324" spans="1:39" x14ac:dyDescent="0.2">
      <c r="A324" s="6" t="s">
        <v>803</v>
      </c>
      <c r="C324" s="6" t="s">
        <v>329</v>
      </c>
      <c r="E324" s="49">
        <v>7949.55</v>
      </c>
      <c r="F324" s="49"/>
      <c r="G324" s="49">
        <v>64518.17</v>
      </c>
      <c r="H324" s="49"/>
      <c r="I324" s="49">
        <v>57364.77</v>
      </c>
      <c r="J324" s="49"/>
      <c r="K324" s="49">
        <v>0</v>
      </c>
      <c r="L324" s="49"/>
      <c r="M324" s="49">
        <v>0</v>
      </c>
      <c r="N324" s="49"/>
      <c r="O324" s="49">
        <v>661.54</v>
      </c>
      <c r="P324" s="49"/>
      <c r="Q324" s="49">
        <v>55.81</v>
      </c>
      <c r="R324" s="49"/>
      <c r="S324" s="49">
        <v>2135.0300000000002</v>
      </c>
      <c r="T324" s="49"/>
      <c r="U324" s="49">
        <v>0</v>
      </c>
      <c r="V324" s="49"/>
      <c r="W324" s="49">
        <v>0</v>
      </c>
      <c r="X324" s="49"/>
      <c r="Y324" s="49">
        <v>0</v>
      </c>
      <c r="Z324" s="49"/>
      <c r="AA324" s="49">
        <v>0</v>
      </c>
      <c r="AB324" s="49"/>
      <c r="AC324" s="49">
        <v>0</v>
      </c>
      <c r="AD324" s="49"/>
      <c r="AE324" s="49">
        <v>0</v>
      </c>
      <c r="AF324" s="49"/>
      <c r="AG324" s="49">
        <v>0</v>
      </c>
      <c r="AH324" s="49"/>
      <c r="AI324" s="49">
        <f t="shared" si="15"/>
        <v>132684.87</v>
      </c>
      <c r="AK324" s="6" t="str">
        <f>'Gen Rev'!A324</f>
        <v>Lockbourne</v>
      </c>
      <c r="AL324" s="6" t="str">
        <f t="shared" si="13"/>
        <v>Lockbourne</v>
      </c>
      <c r="AM324" s="6" t="b">
        <f t="shared" si="14"/>
        <v>1</v>
      </c>
    </row>
    <row r="325" spans="1:39" x14ac:dyDescent="0.2">
      <c r="A325" s="6" t="s">
        <v>499</v>
      </c>
      <c r="C325" s="6" t="s">
        <v>498</v>
      </c>
      <c r="E325" s="49">
        <f>4176+2299</f>
        <v>6475</v>
      </c>
      <c r="F325" s="49"/>
      <c r="G325" s="49">
        <v>0</v>
      </c>
      <c r="H325" s="49"/>
      <c r="I325" s="49">
        <f>11063+22276+1886</f>
        <v>35225</v>
      </c>
      <c r="J325" s="49"/>
      <c r="K325" s="49">
        <v>3925</v>
      </c>
      <c r="L325" s="49"/>
      <c r="M325" s="49">
        <v>0</v>
      </c>
      <c r="N325" s="49"/>
      <c r="O325" s="49">
        <v>0</v>
      </c>
      <c r="P325" s="49"/>
      <c r="Q325" s="49">
        <f>750+4</f>
        <v>754</v>
      </c>
      <c r="R325" s="49"/>
      <c r="S325" s="49">
        <v>0</v>
      </c>
      <c r="T325" s="49"/>
      <c r="U325" s="49">
        <v>0</v>
      </c>
      <c r="V325" s="49"/>
      <c r="W325" s="49">
        <v>0</v>
      </c>
      <c r="X325" s="49"/>
      <c r="Y325" s="49">
        <v>0</v>
      </c>
      <c r="Z325" s="49"/>
      <c r="AA325" s="49">
        <v>0</v>
      </c>
      <c r="AB325" s="49"/>
      <c r="AC325" s="49">
        <v>0</v>
      </c>
      <c r="AD325" s="49"/>
      <c r="AE325" s="49">
        <v>0</v>
      </c>
      <c r="AF325" s="49"/>
      <c r="AG325" s="49">
        <v>0</v>
      </c>
      <c r="AH325" s="49"/>
      <c r="AI325" s="49">
        <f t="shared" si="15"/>
        <v>46379</v>
      </c>
      <c r="AK325" s="6" t="str">
        <f>'Gen Rev'!A325</f>
        <v xml:space="preserve">Lockington </v>
      </c>
      <c r="AL325" s="6" t="str">
        <f t="shared" si="13"/>
        <v xml:space="preserve">Lockington </v>
      </c>
      <c r="AM325" s="6" t="b">
        <f t="shared" si="14"/>
        <v>1</v>
      </c>
    </row>
    <row r="326" spans="1:39" x14ac:dyDescent="0.2">
      <c r="A326" s="6" t="s">
        <v>90</v>
      </c>
      <c r="C326" s="6" t="s">
        <v>351</v>
      </c>
      <c r="E326" s="49">
        <v>475322.61</v>
      </c>
      <c r="F326" s="49"/>
      <c r="G326" s="49">
        <v>2276998.96</v>
      </c>
      <c r="H326" s="49"/>
      <c r="I326" s="49">
        <v>444433.5</v>
      </c>
      <c r="J326" s="49"/>
      <c r="K326" s="49">
        <v>386102.96</v>
      </c>
      <c r="L326" s="49"/>
      <c r="M326" s="49">
        <v>1191610.95</v>
      </c>
      <c r="N326" s="49"/>
      <c r="O326" s="49">
        <v>686765.86</v>
      </c>
      <c r="P326" s="49"/>
      <c r="Q326" s="49">
        <v>87273.33</v>
      </c>
      <c r="R326" s="49"/>
      <c r="S326" s="49">
        <v>163094.17000000001</v>
      </c>
      <c r="T326" s="49"/>
      <c r="U326" s="49">
        <v>0</v>
      </c>
      <c r="V326" s="49"/>
      <c r="W326" s="49">
        <v>0</v>
      </c>
      <c r="X326" s="49"/>
      <c r="Y326" s="49">
        <v>0</v>
      </c>
      <c r="Z326" s="49"/>
      <c r="AA326" s="49">
        <v>673507.53</v>
      </c>
      <c r="AB326" s="49"/>
      <c r="AC326" s="49">
        <v>0</v>
      </c>
      <c r="AD326" s="49"/>
      <c r="AE326" s="49">
        <v>547641.52</v>
      </c>
      <c r="AF326" s="49"/>
      <c r="AG326" s="49">
        <v>10268.620000000001</v>
      </c>
      <c r="AH326" s="49"/>
      <c r="AI326" s="49">
        <f t="shared" si="15"/>
        <v>6943020.0100000007</v>
      </c>
      <c r="AK326" s="6" t="str">
        <f>'Gen Rev'!A326</f>
        <v>Lockland</v>
      </c>
      <c r="AL326" s="6" t="str">
        <f t="shared" si="13"/>
        <v>Lockland</v>
      </c>
      <c r="AM326" s="6" t="b">
        <f t="shared" si="14"/>
        <v>1</v>
      </c>
    </row>
    <row r="327" spans="1:39" x14ac:dyDescent="0.2">
      <c r="A327" s="6" t="s">
        <v>822</v>
      </c>
      <c r="C327" s="6" t="s">
        <v>823</v>
      </c>
      <c r="E327" s="49">
        <v>550665</v>
      </c>
      <c r="F327" s="49"/>
      <c r="G327" s="49">
        <v>0</v>
      </c>
      <c r="H327" s="49"/>
      <c r="I327" s="49">
        <f>172575+136001</f>
        <v>308576</v>
      </c>
      <c r="J327" s="49"/>
      <c r="K327" s="49">
        <v>12761</v>
      </c>
      <c r="L327" s="49"/>
      <c r="M327" s="49">
        <f>342462+500</f>
        <v>342962</v>
      </c>
      <c r="N327" s="49"/>
      <c r="O327" s="49">
        <f>4046+2435</f>
        <v>6481</v>
      </c>
      <c r="P327" s="49"/>
      <c r="Q327" s="49">
        <f>8071+407</f>
        <v>8478</v>
      </c>
      <c r="R327" s="49"/>
      <c r="S327" s="49">
        <v>320</v>
      </c>
      <c r="T327" s="49"/>
      <c r="U327" s="49">
        <v>0</v>
      </c>
      <c r="V327" s="49"/>
      <c r="W327" s="49">
        <v>0</v>
      </c>
      <c r="X327" s="49"/>
      <c r="Y327" s="49">
        <v>0</v>
      </c>
      <c r="Z327" s="49"/>
      <c r="AA327" s="49">
        <v>0</v>
      </c>
      <c r="AB327" s="49"/>
      <c r="AC327" s="49">
        <v>0</v>
      </c>
      <c r="AD327" s="49"/>
      <c r="AE327" s="49">
        <f>18289+107</f>
        <v>18396</v>
      </c>
      <c r="AF327" s="49"/>
      <c r="AG327" s="49">
        <v>0</v>
      </c>
      <c r="AH327" s="49"/>
      <c r="AI327" s="49">
        <f t="shared" si="15"/>
        <v>1248639</v>
      </c>
      <c r="AK327" s="6" t="str">
        <f>'Gen Rev'!A327</f>
        <v>Lodi</v>
      </c>
      <c r="AL327" s="6" t="str">
        <f t="shared" si="13"/>
        <v>Lodi</v>
      </c>
      <c r="AM327" s="6" t="b">
        <f t="shared" si="14"/>
        <v>1</v>
      </c>
    </row>
    <row r="328" spans="1:39" x14ac:dyDescent="0.2">
      <c r="A328" s="6" t="s">
        <v>516</v>
      </c>
      <c r="C328" s="6" t="s">
        <v>517</v>
      </c>
      <c r="E328" s="49">
        <v>115586</v>
      </c>
      <c r="F328" s="49"/>
      <c r="G328" s="49">
        <v>5485090</v>
      </c>
      <c r="H328" s="49"/>
      <c r="I328" s="49">
        <v>341845</v>
      </c>
      <c r="J328" s="49"/>
      <c r="K328" s="49">
        <v>340</v>
      </c>
      <c r="L328" s="49"/>
      <c r="M328" s="49">
        <v>191936</v>
      </c>
      <c r="N328" s="49"/>
      <c r="O328" s="49">
        <v>221668</v>
      </c>
      <c r="P328" s="49"/>
      <c r="Q328" s="49">
        <v>7791</v>
      </c>
      <c r="R328" s="49"/>
      <c r="S328" s="49">
        <f>160000+74895+26000</f>
        <v>260895</v>
      </c>
      <c r="T328" s="49"/>
      <c r="U328" s="49">
        <v>0</v>
      </c>
      <c r="V328" s="49"/>
      <c r="W328" s="49">
        <v>467106</v>
      </c>
      <c r="X328" s="49"/>
      <c r="Y328" s="49">
        <v>2266</v>
      </c>
      <c r="Z328" s="49"/>
      <c r="AA328" s="49">
        <v>111</v>
      </c>
      <c r="AB328" s="49"/>
      <c r="AC328" s="49">
        <v>0</v>
      </c>
      <c r="AD328" s="49"/>
      <c r="AE328" s="49">
        <v>0</v>
      </c>
      <c r="AF328" s="49"/>
      <c r="AG328" s="49">
        <v>0</v>
      </c>
      <c r="AH328" s="49"/>
      <c r="AI328" s="49">
        <f t="shared" si="15"/>
        <v>7094634</v>
      </c>
      <c r="AK328" s="6" t="str">
        <f>'Gen Rev'!A328</f>
        <v>Lordstown</v>
      </c>
      <c r="AL328" s="6" t="str">
        <f t="shared" si="13"/>
        <v>Lordstown</v>
      </c>
      <c r="AM328" s="6" t="b">
        <f t="shared" si="14"/>
        <v>1</v>
      </c>
    </row>
    <row r="329" spans="1:39" x14ac:dyDescent="0.2">
      <c r="A329" s="6" t="s">
        <v>83</v>
      </c>
      <c r="C329" s="6" t="s">
        <v>349</v>
      </c>
      <c r="E329" s="49">
        <v>32771.25</v>
      </c>
      <c r="F329" s="49"/>
      <c r="G329" s="49">
        <v>0</v>
      </c>
      <c r="H329" s="49"/>
      <c r="I329" s="49">
        <v>36703.79</v>
      </c>
      <c r="J329" s="49"/>
      <c r="K329" s="49">
        <v>30.17</v>
      </c>
      <c r="L329" s="49"/>
      <c r="M329" s="49">
        <v>23300</v>
      </c>
      <c r="N329" s="49"/>
      <c r="O329" s="49">
        <v>0</v>
      </c>
      <c r="P329" s="49"/>
      <c r="Q329" s="49">
        <v>81.650000000000006</v>
      </c>
      <c r="R329" s="49"/>
      <c r="S329" s="49">
        <v>11426.1</v>
      </c>
      <c r="T329" s="49"/>
      <c r="U329" s="49">
        <v>0</v>
      </c>
      <c r="V329" s="49"/>
      <c r="W329" s="49">
        <v>0</v>
      </c>
      <c r="X329" s="49"/>
      <c r="Y329" s="49">
        <v>0</v>
      </c>
      <c r="Z329" s="49"/>
      <c r="AA329" s="49">
        <v>0</v>
      </c>
      <c r="AB329" s="49"/>
      <c r="AC329" s="49">
        <v>0</v>
      </c>
      <c r="AD329" s="49"/>
      <c r="AE329" s="49">
        <v>0</v>
      </c>
      <c r="AF329" s="49"/>
      <c r="AG329" s="49">
        <v>980.66</v>
      </c>
      <c r="AH329" s="49"/>
      <c r="AI329" s="49">
        <f t="shared" si="15"/>
        <v>105293.62000000001</v>
      </c>
      <c r="AK329" s="6" t="str">
        <f>'Gen Rev'!A329</f>
        <v>Lore City</v>
      </c>
      <c r="AL329" s="6" t="str">
        <f t="shared" si="13"/>
        <v>Lore City</v>
      </c>
      <c r="AM329" s="6" t="b">
        <f t="shared" si="14"/>
        <v>1</v>
      </c>
    </row>
    <row r="330" spans="1:39" x14ac:dyDescent="0.2">
      <c r="A330" s="6" t="s">
        <v>786</v>
      </c>
      <c r="C330" s="6" t="s">
        <v>848</v>
      </c>
      <c r="E330" s="49">
        <v>315754.44</v>
      </c>
      <c r="F330" s="49"/>
      <c r="G330" s="49">
        <v>1043051.28</v>
      </c>
      <c r="H330" s="49"/>
      <c r="I330" s="49">
        <v>335420</v>
      </c>
      <c r="J330" s="49"/>
      <c r="K330" s="49">
        <v>0</v>
      </c>
      <c r="L330" s="49"/>
      <c r="M330" s="49">
        <v>247246.39</v>
      </c>
      <c r="N330" s="49"/>
      <c r="O330" s="49">
        <v>28116.5</v>
      </c>
      <c r="P330" s="49"/>
      <c r="Q330" s="49">
        <v>1398.46</v>
      </c>
      <c r="R330" s="49"/>
      <c r="S330" s="49">
        <v>57671.07</v>
      </c>
      <c r="T330" s="49"/>
      <c r="U330" s="49">
        <v>0</v>
      </c>
      <c r="V330" s="49"/>
      <c r="W330" s="49">
        <v>0</v>
      </c>
      <c r="X330" s="49"/>
      <c r="Y330" s="49">
        <v>3670</v>
      </c>
      <c r="Z330" s="49"/>
      <c r="AA330" s="49">
        <v>954354.71</v>
      </c>
      <c r="AB330" s="49"/>
      <c r="AC330" s="49">
        <v>0</v>
      </c>
      <c r="AD330" s="49"/>
      <c r="AE330" s="49">
        <v>0</v>
      </c>
      <c r="AF330" s="49"/>
      <c r="AG330" s="49">
        <v>0</v>
      </c>
      <c r="AH330" s="49"/>
      <c r="AI330" s="49">
        <f t="shared" si="15"/>
        <v>2986682.8499999996</v>
      </c>
      <c r="AK330" s="6" t="str">
        <f>'Gen Rev'!A330</f>
        <v>Loudonville</v>
      </c>
      <c r="AL330" s="6" t="str">
        <f t="shared" si="13"/>
        <v>Loudonville</v>
      </c>
      <c r="AM330" s="6" t="b">
        <f t="shared" si="14"/>
        <v>1</v>
      </c>
    </row>
    <row r="331" spans="1:39" x14ac:dyDescent="0.2">
      <c r="A331" s="6" t="s">
        <v>228</v>
      </c>
      <c r="C331" s="6" t="s">
        <v>545</v>
      </c>
      <c r="E331" s="49">
        <v>21820.37</v>
      </c>
      <c r="F331" s="49"/>
      <c r="G331" s="49">
        <v>0</v>
      </c>
      <c r="H331" s="49"/>
      <c r="I331" s="49">
        <v>40955.53</v>
      </c>
      <c r="J331" s="49"/>
      <c r="K331" s="49">
        <v>0</v>
      </c>
      <c r="L331" s="49"/>
      <c r="M331" s="49">
        <v>0</v>
      </c>
      <c r="N331" s="49"/>
      <c r="O331" s="49">
        <v>876</v>
      </c>
      <c r="P331" s="49"/>
      <c r="Q331" s="49">
        <v>129.80000000000001</v>
      </c>
      <c r="R331" s="49"/>
      <c r="S331" s="49">
        <v>30453.11</v>
      </c>
      <c r="T331" s="49"/>
      <c r="U331" s="49">
        <v>0</v>
      </c>
      <c r="V331" s="49"/>
      <c r="W331" s="49">
        <v>0</v>
      </c>
      <c r="X331" s="49"/>
      <c r="Y331" s="49">
        <v>0</v>
      </c>
      <c r="Z331" s="49"/>
      <c r="AA331" s="49">
        <v>0</v>
      </c>
      <c r="AB331" s="49"/>
      <c r="AC331" s="49">
        <v>0</v>
      </c>
      <c r="AD331" s="49"/>
      <c r="AE331" s="49">
        <v>0</v>
      </c>
      <c r="AF331" s="49"/>
      <c r="AG331" s="49">
        <v>0</v>
      </c>
      <c r="AH331" s="49"/>
      <c r="AI331" s="49">
        <f t="shared" si="15"/>
        <v>94234.81</v>
      </c>
      <c r="AK331" s="6" t="str">
        <f>'Gen Rev'!A331</f>
        <v>Lowell</v>
      </c>
      <c r="AL331" s="6" t="str">
        <f t="shared" si="13"/>
        <v>Lowell</v>
      </c>
      <c r="AM331" s="6" t="b">
        <f t="shared" si="14"/>
        <v>1</v>
      </c>
    </row>
    <row r="332" spans="1:39" x14ac:dyDescent="0.2">
      <c r="A332" s="6" t="s">
        <v>723</v>
      </c>
      <c r="C332" s="6" t="s">
        <v>429</v>
      </c>
      <c r="E332" s="49">
        <v>105658.9</v>
      </c>
      <c r="F332" s="49"/>
      <c r="G332" s="49">
        <v>497855.19</v>
      </c>
      <c r="H332" s="49"/>
      <c r="I332" s="49">
        <v>117530.07</v>
      </c>
      <c r="J332" s="49"/>
      <c r="K332" s="49">
        <v>10847.34</v>
      </c>
      <c r="L332" s="49"/>
      <c r="M332" s="49">
        <v>166994.9</v>
      </c>
      <c r="N332" s="49"/>
      <c r="O332" s="49">
        <v>17614.599999999999</v>
      </c>
      <c r="P332" s="49"/>
      <c r="Q332" s="49">
        <v>45.78</v>
      </c>
      <c r="R332" s="49"/>
      <c r="S332" s="49">
        <v>28835.5</v>
      </c>
      <c r="T332" s="49"/>
      <c r="U332" s="49">
        <v>0</v>
      </c>
      <c r="V332" s="49"/>
      <c r="W332" s="49">
        <v>0</v>
      </c>
      <c r="X332" s="49"/>
      <c r="Y332" s="49">
        <v>0</v>
      </c>
      <c r="Z332" s="49"/>
      <c r="AA332" s="49">
        <v>11000</v>
      </c>
      <c r="AB332" s="49"/>
      <c r="AC332" s="49">
        <v>0</v>
      </c>
      <c r="AD332" s="49"/>
      <c r="AE332" s="49">
        <v>45320.14</v>
      </c>
      <c r="AF332" s="49"/>
      <c r="AG332" s="49">
        <v>0</v>
      </c>
      <c r="AH332" s="49"/>
      <c r="AI332" s="49">
        <f t="shared" si="15"/>
        <v>1001702.4199999999</v>
      </c>
      <c r="AK332" s="6" t="str">
        <f>'Gen Rev'!A332</f>
        <v>Lowellville</v>
      </c>
      <c r="AL332" s="6" t="str">
        <f t="shared" si="13"/>
        <v>Lowellville</v>
      </c>
      <c r="AM332" s="6" t="b">
        <f t="shared" si="14"/>
        <v>1</v>
      </c>
    </row>
    <row r="333" spans="1:39" x14ac:dyDescent="0.2">
      <c r="A333" s="6" t="s">
        <v>229</v>
      </c>
      <c r="C333" s="6" t="s">
        <v>545</v>
      </c>
      <c r="E333" s="49">
        <v>1381.94</v>
      </c>
      <c r="F333" s="49"/>
      <c r="G333" s="49">
        <v>0</v>
      </c>
      <c r="H333" s="49"/>
      <c r="I333" s="49">
        <v>14085.71</v>
      </c>
      <c r="J333" s="49"/>
      <c r="K333" s="49">
        <v>0</v>
      </c>
      <c r="L333" s="49"/>
      <c r="M333" s="49">
        <v>3425</v>
      </c>
      <c r="N333" s="49"/>
      <c r="O333" s="49">
        <v>0</v>
      </c>
      <c r="P333" s="49"/>
      <c r="Q333" s="49">
        <v>34.96</v>
      </c>
      <c r="R333" s="49"/>
      <c r="S333" s="49">
        <v>120</v>
      </c>
      <c r="T333" s="49"/>
      <c r="U333" s="49">
        <v>0</v>
      </c>
      <c r="V333" s="49"/>
      <c r="W333" s="49">
        <v>0</v>
      </c>
      <c r="X333" s="49"/>
      <c r="Y333" s="49">
        <v>0</v>
      </c>
      <c r="Z333" s="49"/>
      <c r="AA333" s="49">
        <v>0</v>
      </c>
      <c r="AB333" s="49"/>
      <c r="AC333" s="49">
        <v>0</v>
      </c>
      <c r="AD333" s="49"/>
      <c r="AE333" s="49">
        <v>0</v>
      </c>
      <c r="AF333" s="49"/>
      <c r="AG333" s="49">
        <v>0</v>
      </c>
      <c r="AH333" s="49"/>
      <c r="AI333" s="49">
        <f t="shared" si="15"/>
        <v>19047.61</v>
      </c>
      <c r="AK333" s="6" t="str">
        <f>'Gen Rev'!A333</f>
        <v>Lower Salem</v>
      </c>
      <c r="AL333" s="6" t="str">
        <f t="shared" si="13"/>
        <v>Lower Salem</v>
      </c>
      <c r="AM333" s="6" t="b">
        <f t="shared" si="14"/>
        <v>1</v>
      </c>
    </row>
    <row r="334" spans="1:39" x14ac:dyDescent="0.2">
      <c r="A334" s="6" t="s">
        <v>423</v>
      </c>
      <c r="C334" s="6" t="s">
        <v>481</v>
      </c>
      <c r="E334" s="49">
        <v>26524</v>
      </c>
      <c r="F334" s="49"/>
      <c r="G334" s="49">
        <v>0</v>
      </c>
      <c r="H334" s="49"/>
      <c r="I334" s="49">
        <v>59924</v>
      </c>
      <c r="J334" s="49"/>
      <c r="K334" s="49">
        <v>0</v>
      </c>
      <c r="L334" s="49"/>
      <c r="M334" s="49">
        <v>1640</v>
      </c>
      <c r="N334" s="49"/>
      <c r="O334" s="49">
        <v>127125</v>
      </c>
      <c r="P334" s="49"/>
      <c r="Q334" s="49">
        <v>70</v>
      </c>
      <c r="R334" s="49"/>
      <c r="S334" s="49">
        <v>1607</v>
      </c>
      <c r="T334" s="49"/>
      <c r="U334" s="49">
        <v>0</v>
      </c>
      <c r="V334" s="49"/>
      <c r="W334" s="49">
        <v>0</v>
      </c>
      <c r="X334" s="49"/>
      <c r="Y334" s="49">
        <v>0</v>
      </c>
      <c r="Z334" s="49"/>
      <c r="AA334" s="49">
        <v>20000</v>
      </c>
      <c r="AB334" s="49"/>
      <c r="AC334" s="49">
        <v>0</v>
      </c>
      <c r="AD334" s="49"/>
      <c r="AE334" s="49">
        <v>0</v>
      </c>
      <c r="AF334" s="49"/>
      <c r="AG334" s="49">
        <v>0</v>
      </c>
      <c r="AH334" s="49"/>
      <c r="AI334" s="49">
        <f t="shared" si="15"/>
        <v>236890</v>
      </c>
      <c r="AK334" s="6" t="str">
        <f>'Gen Rev'!A334</f>
        <v>Lucas</v>
      </c>
      <c r="AL334" s="6" t="str">
        <f t="shared" si="13"/>
        <v>Lucas</v>
      </c>
      <c r="AM334" s="6" t="b">
        <f t="shared" si="14"/>
        <v>1</v>
      </c>
    </row>
    <row r="335" spans="1:39" x14ac:dyDescent="0.2">
      <c r="A335" s="6" t="s">
        <v>561</v>
      </c>
      <c r="C335" s="6" t="s">
        <v>558</v>
      </c>
      <c r="E335" s="49">
        <v>82395.75</v>
      </c>
      <c r="F335" s="49"/>
      <c r="G335" s="49">
        <v>184512.42</v>
      </c>
      <c r="H335" s="49"/>
      <c r="I335" s="49">
        <v>55723.12</v>
      </c>
      <c r="J335" s="49"/>
      <c r="K335" s="49">
        <v>13286.96</v>
      </c>
      <c r="L335" s="49"/>
      <c r="M335" s="49">
        <v>78992.570000000007</v>
      </c>
      <c r="N335" s="49"/>
      <c r="O335" s="49">
        <v>7854.85</v>
      </c>
      <c r="P335" s="49"/>
      <c r="Q335" s="49">
        <v>546.85</v>
      </c>
      <c r="R335" s="49"/>
      <c r="S335" s="49">
        <v>36019.31</v>
      </c>
      <c r="T335" s="49"/>
      <c r="U335" s="49">
        <v>0</v>
      </c>
      <c r="V335" s="49"/>
      <c r="W335" s="49">
        <v>0</v>
      </c>
      <c r="X335" s="49"/>
      <c r="Y335" s="49">
        <v>0</v>
      </c>
      <c r="Z335" s="49"/>
      <c r="AA335" s="49">
        <v>36902.480000000003</v>
      </c>
      <c r="AB335" s="49"/>
      <c r="AC335" s="49">
        <v>0</v>
      </c>
      <c r="AD335" s="49"/>
      <c r="AE335" s="49">
        <v>0</v>
      </c>
      <c r="AF335" s="49"/>
      <c r="AG335" s="49">
        <v>0</v>
      </c>
      <c r="AH335" s="49"/>
      <c r="AI335" s="49">
        <f t="shared" si="15"/>
        <v>496234.31</v>
      </c>
      <c r="AK335" s="6" t="str">
        <f>'Gen Rev'!A335</f>
        <v>Luckey</v>
      </c>
      <c r="AL335" s="6" t="str">
        <f t="shared" si="13"/>
        <v>Luckey</v>
      </c>
      <c r="AM335" s="6" t="b">
        <f t="shared" si="14"/>
        <v>1</v>
      </c>
    </row>
    <row r="336" spans="1:39" x14ac:dyDescent="0.2">
      <c r="A336" s="6" t="s">
        <v>105</v>
      </c>
      <c r="C336" s="6" t="s">
        <v>379</v>
      </c>
      <c r="E336" s="49">
        <v>243537.16</v>
      </c>
      <c r="F336" s="49"/>
      <c r="G336" s="49">
        <v>0</v>
      </c>
      <c r="H336" s="49"/>
      <c r="I336" s="49">
        <v>90762.21</v>
      </c>
      <c r="J336" s="49"/>
      <c r="K336" s="49">
        <v>1408.72</v>
      </c>
      <c r="L336" s="49"/>
      <c r="M336" s="49">
        <v>20000</v>
      </c>
      <c r="N336" s="49"/>
      <c r="O336" s="49">
        <v>16444.91</v>
      </c>
      <c r="P336" s="49"/>
      <c r="Q336" s="49">
        <v>1808.74</v>
      </c>
      <c r="R336" s="49"/>
      <c r="S336" s="49">
        <v>34226.22</v>
      </c>
      <c r="T336" s="49"/>
      <c r="U336" s="49">
        <v>0</v>
      </c>
      <c r="V336" s="49"/>
      <c r="W336" s="49">
        <v>0</v>
      </c>
      <c r="X336" s="49"/>
      <c r="Y336" s="49">
        <v>0</v>
      </c>
      <c r="Z336" s="49"/>
      <c r="AA336" s="49">
        <v>181588.68</v>
      </c>
      <c r="AB336" s="49"/>
      <c r="AC336" s="49">
        <v>0</v>
      </c>
      <c r="AD336" s="49"/>
      <c r="AE336" s="49">
        <v>6645.17</v>
      </c>
      <c r="AF336" s="49"/>
      <c r="AG336" s="49">
        <v>0</v>
      </c>
      <c r="AH336" s="49"/>
      <c r="AI336" s="49">
        <f t="shared" si="15"/>
        <v>596421.80999999994</v>
      </c>
      <c r="AK336" s="6" t="str">
        <f>'Gen Rev'!A336</f>
        <v>Lynchburg</v>
      </c>
      <c r="AL336" s="6" t="str">
        <f t="shared" si="13"/>
        <v>Lynchburg</v>
      </c>
      <c r="AM336" s="6" t="b">
        <f t="shared" si="14"/>
        <v>1</v>
      </c>
    </row>
    <row r="337" spans="1:39" x14ac:dyDescent="0.2">
      <c r="A337" s="6" t="s">
        <v>73</v>
      </c>
      <c r="C337" s="6" t="s">
        <v>332</v>
      </c>
      <c r="E337" s="49">
        <v>87896.07</v>
      </c>
      <c r="F337" s="49"/>
      <c r="G337" s="49">
        <v>0</v>
      </c>
      <c r="H337" s="49"/>
      <c r="I337" s="49">
        <v>57539.67</v>
      </c>
      <c r="J337" s="49"/>
      <c r="K337" s="49">
        <v>0</v>
      </c>
      <c r="L337" s="49"/>
      <c r="M337" s="49">
        <v>0</v>
      </c>
      <c r="N337" s="49"/>
      <c r="O337" s="49">
        <v>1737.85</v>
      </c>
      <c r="P337" s="49"/>
      <c r="Q337" s="49">
        <v>323.31</v>
      </c>
      <c r="R337" s="49"/>
      <c r="S337" s="49">
        <v>9895.06</v>
      </c>
      <c r="T337" s="49"/>
      <c r="U337" s="49">
        <v>0</v>
      </c>
      <c r="V337" s="49"/>
      <c r="W337" s="49">
        <v>0</v>
      </c>
      <c r="X337" s="49"/>
      <c r="Y337" s="49">
        <v>0</v>
      </c>
      <c r="Z337" s="49"/>
      <c r="AA337" s="49">
        <v>500</v>
      </c>
      <c r="AB337" s="49"/>
      <c r="AC337" s="49">
        <v>0</v>
      </c>
      <c r="AD337" s="49"/>
      <c r="AE337" s="49">
        <v>0</v>
      </c>
      <c r="AF337" s="49"/>
      <c r="AG337" s="49">
        <v>0</v>
      </c>
      <c r="AH337" s="49"/>
      <c r="AI337" s="49">
        <f t="shared" si="15"/>
        <v>157891.96</v>
      </c>
      <c r="AK337" s="6" t="str">
        <f>'Gen Rev'!A337</f>
        <v>Lyons</v>
      </c>
      <c r="AL337" s="6" t="str">
        <f t="shared" si="13"/>
        <v>Lyons</v>
      </c>
      <c r="AM337" s="6" t="b">
        <f t="shared" si="14"/>
        <v>1</v>
      </c>
    </row>
    <row r="338" spans="1:39" x14ac:dyDescent="0.2">
      <c r="A338" s="6" t="s">
        <v>401</v>
      </c>
      <c r="C338" s="6" t="s">
        <v>399</v>
      </c>
      <c r="E338" s="49">
        <v>111652.34</v>
      </c>
      <c r="F338" s="49"/>
      <c r="G338" s="49">
        <v>856397.13</v>
      </c>
      <c r="H338" s="49"/>
      <c r="I338" s="49">
        <v>809863.44</v>
      </c>
      <c r="J338" s="49"/>
      <c r="K338" s="49">
        <v>143592.89000000001</v>
      </c>
      <c r="L338" s="49"/>
      <c r="M338" s="49">
        <v>41898.99</v>
      </c>
      <c r="N338" s="49"/>
      <c r="O338" s="49">
        <v>90632.23</v>
      </c>
      <c r="P338" s="49"/>
      <c r="Q338" s="49">
        <v>2952.57</v>
      </c>
      <c r="R338" s="49"/>
      <c r="S338" s="49">
        <v>101001.89</v>
      </c>
      <c r="T338" s="49"/>
      <c r="U338" s="49">
        <v>0</v>
      </c>
      <c r="V338" s="49"/>
      <c r="W338" s="49">
        <v>0</v>
      </c>
      <c r="X338" s="49"/>
      <c r="Y338" s="49">
        <v>0</v>
      </c>
      <c r="Z338" s="49"/>
      <c r="AA338" s="49">
        <v>201500</v>
      </c>
      <c r="AB338" s="49"/>
      <c r="AC338" s="49">
        <v>35000</v>
      </c>
      <c r="AD338" s="49"/>
      <c r="AE338" s="49">
        <v>38761.589999999997</v>
      </c>
      <c r="AF338" s="49"/>
      <c r="AG338" s="49">
        <v>0</v>
      </c>
      <c r="AH338" s="49"/>
      <c r="AI338" s="49">
        <f t="shared" si="15"/>
        <v>2433253.0699999998</v>
      </c>
      <c r="AK338" s="6" t="str">
        <f>'Gen Rev'!A338</f>
        <v>Madison</v>
      </c>
      <c r="AL338" s="6" t="str">
        <f t="shared" si="13"/>
        <v>Madison</v>
      </c>
      <c r="AM338" s="6" t="b">
        <f t="shared" si="14"/>
        <v>1</v>
      </c>
    </row>
    <row r="339" spans="1:39" x14ac:dyDescent="0.2">
      <c r="A339" s="6" t="s">
        <v>221</v>
      </c>
      <c r="C339" s="6" t="s">
        <v>531</v>
      </c>
      <c r="E339" s="49">
        <v>29015.75</v>
      </c>
      <c r="F339" s="49"/>
      <c r="G339" s="49">
        <v>0</v>
      </c>
      <c r="H339" s="49"/>
      <c r="I339" s="49">
        <v>18290.580000000002</v>
      </c>
      <c r="J339" s="49"/>
      <c r="K339" s="49">
        <v>0</v>
      </c>
      <c r="L339" s="49"/>
      <c r="M339" s="49">
        <v>1562.77</v>
      </c>
      <c r="N339" s="49"/>
      <c r="O339" s="49">
        <v>20</v>
      </c>
      <c r="P339" s="49"/>
      <c r="Q339" s="49">
        <v>219.46</v>
      </c>
      <c r="R339" s="49"/>
      <c r="S339" s="49">
        <v>386</v>
      </c>
      <c r="T339" s="49"/>
      <c r="U339" s="49">
        <v>0</v>
      </c>
      <c r="V339" s="49"/>
      <c r="W339" s="49">
        <v>0</v>
      </c>
      <c r="X339" s="49"/>
      <c r="Y339" s="49">
        <v>0</v>
      </c>
      <c r="Z339" s="49"/>
      <c r="AA339" s="49">
        <v>0</v>
      </c>
      <c r="AB339" s="49"/>
      <c r="AC339" s="49">
        <v>0</v>
      </c>
      <c r="AD339" s="49"/>
      <c r="AE339" s="49">
        <v>0</v>
      </c>
      <c r="AF339" s="49"/>
      <c r="AG339" s="49">
        <v>0</v>
      </c>
      <c r="AH339" s="49"/>
      <c r="AI339" s="49">
        <f t="shared" si="15"/>
        <v>49494.559999999998</v>
      </c>
      <c r="AK339" s="6" t="str">
        <f>'Gen Rev'!A339</f>
        <v>Magnetic Springs</v>
      </c>
      <c r="AL339" s="6" t="str">
        <f t="shared" si="13"/>
        <v>Magnetic Springs</v>
      </c>
      <c r="AM339" s="6" t="b">
        <f t="shared" si="14"/>
        <v>1</v>
      </c>
    </row>
    <row r="340" spans="1:39" x14ac:dyDescent="0.2">
      <c r="A340" s="6" t="s">
        <v>506</v>
      </c>
      <c r="C340" s="6" t="s">
        <v>502</v>
      </c>
      <c r="E340" s="49">
        <f>176569+59850</f>
        <v>236419</v>
      </c>
      <c r="F340" s="49"/>
      <c r="G340" s="49">
        <v>0</v>
      </c>
      <c r="H340" s="49"/>
      <c r="I340" s="49">
        <v>42409</v>
      </c>
      <c r="J340" s="49"/>
      <c r="K340" s="49">
        <v>0</v>
      </c>
      <c r="L340" s="49"/>
      <c r="M340" s="49">
        <v>321616</v>
      </c>
      <c r="N340" s="49"/>
      <c r="O340" s="49">
        <f>5753+2461</f>
        <v>8214</v>
      </c>
      <c r="P340" s="49"/>
      <c r="Q340" s="49">
        <v>3584</v>
      </c>
      <c r="R340" s="49"/>
      <c r="S340" s="49">
        <f>31130+1600</f>
        <v>32730</v>
      </c>
      <c r="T340" s="49"/>
      <c r="U340" s="49">
        <v>14000</v>
      </c>
      <c r="V340" s="49"/>
      <c r="W340" s="49">
        <v>0</v>
      </c>
      <c r="X340" s="49"/>
      <c r="Y340" s="49">
        <v>0</v>
      </c>
      <c r="Z340" s="49"/>
      <c r="AA340" s="49">
        <v>227686</v>
      </c>
      <c r="AB340" s="49"/>
      <c r="AC340" s="49">
        <v>0</v>
      </c>
      <c r="AD340" s="49"/>
      <c r="AE340" s="49">
        <v>0</v>
      </c>
      <c r="AF340" s="49"/>
      <c r="AG340" s="49">
        <v>0</v>
      </c>
      <c r="AH340" s="49"/>
      <c r="AI340" s="49">
        <f t="shared" si="15"/>
        <v>886658</v>
      </c>
      <c r="AK340" s="6" t="str">
        <f>'Gen Rev'!A340</f>
        <v>Magnolia</v>
      </c>
      <c r="AL340" s="6" t="str">
        <f t="shared" si="13"/>
        <v>Magnolia</v>
      </c>
      <c r="AM340" s="6" t="b">
        <f t="shared" si="14"/>
        <v>1</v>
      </c>
    </row>
    <row r="341" spans="1:39" x14ac:dyDescent="0.2"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9" ht="12.75" x14ac:dyDescent="0.2"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88" t="s">
        <v>733</v>
      </c>
    </row>
    <row r="343" spans="1:39" x14ac:dyDescent="0.2"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</row>
    <row r="344" spans="1:39" x14ac:dyDescent="0.2">
      <c r="A344" s="6" t="s">
        <v>225</v>
      </c>
      <c r="C344" s="6" t="s">
        <v>541</v>
      </c>
      <c r="E344" s="52">
        <v>48411.9</v>
      </c>
      <c r="F344" s="52"/>
      <c r="G344" s="52">
        <v>357463.35</v>
      </c>
      <c r="H344" s="52"/>
      <c r="I344" s="52">
        <v>67706.66</v>
      </c>
      <c r="J344" s="52"/>
      <c r="K344" s="52">
        <v>74.55</v>
      </c>
      <c r="L344" s="52"/>
      <c r="M344" s="52">
        <v>72375.490000000005</v>
      </c>
      <c r="N344" s="52"/>
      <c r="O344" s="52">
        <v>35129.919999999998</v>
      </c>
      <c r="P344" s="52"/>
      <c r="Q344" s="52">
        <v>786.25</v>
      </c>
      <c r="R344" s="52"/>
      <c r="S344" s="52">
        <v>1978.17</v>
      </c>
      <c r="T344" s="52"/>
      <c r="U344" s="52">
        <v>26500</v>
      </c>
      <c r="V344" s="52"/>
      <c r="W344" s="52">
        <v>0</v>
      </c>
      <c r="X344" s="52"/>
      <c r="Y344" s="52">
        <v>4320</v>
      </c>
      <c r="Z344" s="52"/>
      <c r="AA344" s="52">
        <v>0</v>
      </c>
      <c r="AB344" s="52"/>
      <c r="AC344" s="52">
        <v>0</v>
      </c>
      <c r="AD344" s="52"/>
      <c r="AE344" s="52">
        <v>0</v>
      </c>
      <c r="AF344" s="52"/>
      <c r="AG344" s="52">
        <v>0</v>
      </c>
      <c r="AH344" s="49"/>
      <c r="AI344" s="52">
        <f t="shared" si="15"/>
        <v>614746.29000000015</v>
      </c>
      <c r="AK344" s="6" t="str">
        <f>'Gen Rev'!A344</f>
        <v>Maineville</v>
      </c>
      <c r="AL344" s="6" t="str">
        <f t="shared" ref="AL344:AL407" si="16">A344</f>
        <v>Maineville</v>
      </c>
      <c r="AM344" s="6" t="b">
        <f t="shared" ref="AM344:AM407" si="17">AK344=AL344</f>
        <v>1</v>
      </c>
    </row>
    <row r="345" spans="1:39" x14ac:dyDescent="0.2">
      <c r="A345" s="6" t="s">
        <v>102</v>
      </c>
      <c r="C345" s="6" t="s">
        <v>377</v>
      </c>
      <c r="E345" s="49">
        <v>8329.51</v>
      </c>
      <c r="F345" s="49"/>
      <c r="G345" s="49">
        <v>58848.04</v>
      </c>
      <c r="H345" s="49"/>
      <c r="I345" s="49">
        <v>33498.42</v>
      </c>
      <c r="J345" s="49"/>
      <c r="K345" s="49">
        <v>0</v>
      </c>
      <c r="L345" s="49"/>
      <c r="M345" s="49">
        <v>3497.48</v>
      </c>
      <c r="N345" s="49"/>
      <c r="O345" s="49">
        <v>1635</v>
      </c>
      <c r="P345" s="49"/>
      <c r="Q345" s="49">
        <v>679.21</v>
      </c>
      <c r="R345" s="49"/>
      <c r="S345" s="49">
        <v>647.95000000000005</v>
      </c>
      <c r="T345" s="49"/>
      <c r="U345" s="49">
        <v>0</v>
      </c>
      <c r="V345" s="49"/>
      <c r="W345" s="49">
        <v>0</v>
      </c>
      <c r="X345" s="49"/>
      <c r="Y345" s="49">
        <v>0</v>
      </c>
      <c r="Z345" s="49"/>
      <c r="AA345" s="49">
        <v>61000</v>
      </c>
      <c r="AB345" s="49"/>
      <c r="AC345" s="49">
        <v>0</v>
      </c>
      <c r="AD345" s="49"/>
      <c r="AE345" s="49">
        <v>804.23</v>
      </c>
      <c r="AF345" s="49"/>
      <c r="AG345" s="49">
        <v>0</v>
      </c>
      <c r="AH345" s="49"/>
      <c r="AI345" s="49">
        <f t="shared" si="15"/>
        <v>168939.84</v>
      </c>
      <c r="AK345" s="6" t="str">
        <f>'Gen Rev'!A345</f>
        <v>Malinta</v>
      </c>
      <c r="AL345" s="6" t="str">
        <f t="shared" si="16"/>
        <v>Malinta</v>
      </c>
      <c r="AM345" s="6" t="b">
        <f t="shared" si="17"/>
        <v>1</v>
      </c>
    </row>
    <row r="346" spans="1:39" x14ac:dyDescent="0.2">
      <c r="A346" s="6" t="s">
        <v>804</v>
      </c>
      <c r="C346" s="6" t="s">
        <v>765</v>
      </c>
      <c r="E346" s="49">
        <v>24324.76</v>
      </c>
      <c r="F346" s="49"/>
      <c r="G346" s="49">
        <v>82510.070000000007</v>
      </c>
      <c r="H346" s="49"/>
      <c r="I346" s="49">
        <v>80146.58</v>
      </c>
      <c r="J346" s="49"/>
      <c r="K346" s="49">
        <v>0</v>
      </c>
      <c r="L346" s="49"/>
      <c r="M346" s="49">
        <v>0</v>
      </c>
      <c r="N346" s="49"/>
      <c r="O346" s="49">
        <v>7827.68</v>
      </c>
      <c r="P346" s="49"/>
      <c r="Q346" s="49">
        <v>864.76</v>
      </c>
      <c r="R346" s="49"/>
      <c r="S346" s="49">
        <v>1552.09</v>
      </c>
      <c r="T346" s="49"/>
      <c r="U346" s="49">
        <v>0</v>
      </c>
      <c r="V346" s="49"/>
      <c r="W346" s="49">
        <v>0</v>
      </c>
      <c r="X346" s="49"/>
      <c r="Y346" s="49">
        <v>0</v>
      </c>
      <c r="Z346" s="49"/>
      <c r="AA346" s="49">
        <v>0</v>
      </c>
      <c r="AB346" s="49"/>
      <c r="AC346" s="49">
        <v>0</v>
      </c>
      <c r="AD346" s="49"/>
      <c r="AE346" s="49">
        <v>0</v>
      </c>
      <c r="AF346" s="49"/>
      <c r="AG346" s="49">
        <v>0</v>
      </c>
      <c r="AH346" s="49"/>
      <c r="AI346" s="49">
        <f t="shared" ref="AI346:AI412" si="18">SUM(E346:AG346)</f>
        <v>197225.94</v>
      </c>
      <c r="AK346" s="6" t="str">
        <f>'Gen Rev'!A346</f>
        <v>Malta</v>
      </c>
      <c r="AL346" s="6" t="str">
        <f t="shared" si="16"/>
        <v>Malta</v>
      </c>
      <c r="AM346" s="6" t="b">
        <f t="shared" si="17"/>
        <v>1</v>
      </c>
    </row>
    <row r="347" spans="1:39" x14ac:dyDescent="0.2">
      <c r="A347" s="6" t="s">
        <v>29</v>
      </c>
      <c r="C347" s="6" t="s">
        <v>57</v>
      </c>
      <c r="E347" s="49">
        <v>33893.25</v>
      </c>
      <c r="F347" s="49"/>
      <c r="G347" s="49">
        <v>178186.55</v>
      </c>
      <c r="H347" s="49"/>
      <c r="I347" s="49">
        <v>99677.37</v>
      </c>
      <c r="J347" s="49"/>
      <c r="K347" s="49">
        <v>0</v>
      </c>
      <c r="L347" s="49"/>
      <c r="M347" s="49">
        <v>9194.5</v>
      </c>
      <c r="N347" s="49"/>
      <c r="O347" s="49">
        <v>9999.52</v>
      </c>
      <c r="P347" s="49"/>
      <c r="Q347" s="49">
        <v>53.07</v>
      </c>
      <c r="R347" s="49"/>
      <c r="S347" s="49">
        <v>28720.880000000001</v>
      </c>
      <c r="T347" s="49"/>
      <c r="U347" s="49">
        <v>0</v>
      </c>
      <c r="V347" s="49"/>
      <c r="W347" s="49">
        <v>0</v>
      </c>
      <c r="X347" s="49"/>
      <c r="Y347" s="49">
        <v>0</v>
      </c>
      <c r="Z347" s="49"/>
      <c r="AA347" s="49">
        <v>33250</v>
      </c>
      <c r="AB347" s="49"/>
      <c r="AC347" s="49">
        <v>0</v>
      </c>
      <c r="AD347" s="49"/>
      <c r="AE347" s="49">
        <v>0</v>
      </c>
      <c r="AF347" s="49"/>
      <c r="AG347" s="49">
        <v>0</v>
      </c>
      <c r="AH347" s="49"/>
      <c r="AI347" s="49">
        <f t="shared" si="18"/>
        <v>392975.14</v>
      </c>
      <c r="AK347" s="6" t="str">
        <f>'Gen Rev'!A347</f>
        <v>Malvern</v>
      </c>
      <c r="AL347" s="6" t="str">
        <f t="shared" si="16"/>
        <v>Malvern</v>
      </c>
      <c r="AM347" s="6" t="b">
        <f t="shared" si="17"/>
        <v>1</v>
      </c>
    </row>
    <row r="348" spans="1:39" x14ac:dyDescent="0.2">
      <c r="A348" s="6" t="s">
        <v>791</v>
      </c>
      <c r="C348" s="6" t="s">
        <v>616</v>
      </c>
      <c r="E348" s="49">
        <v>143737.76</v>
      </c>
      <c r="F348" s="49"/>
      <c r="G348" s="49">
        <v>135377.01</v>
      </c>
      <c r="H348" s="49"/>
      <c r="I348" s="49">
        <v>356427.3</v>
      </c>
      <c r="J348" s="49"/>
      <c r="K348" s="49">
        <v>0</v>
      </c>
      <c r="L348" s="49"/>
      <c r="M348" s="49">
        <v>85766.79</v>
      </c>
      <c r="N348" s="49"/>
      <c r="O348" s="49">
        <v>29398.27</v>
      </c>
      <c r="P348" s="49"/>
      <c r="Q348" s="49">
        <v>727.27</v>
      </c>
      <c r="R348" s="49"/>
      <c r="S348" s="49">
        <v>43579.91</v>
      </c>
      <c r="T348" s="49"/>
      <c r="U348" s="49">
        <v>0</v>
      </c>
      <c r="V348" s="49"/>
      <c r="W348" s="49">
        <v>0</v>
      </c>
      <c r="X348" s="49"/>
      <c r="Y348" s="49">
        <v>0</v>
      </c>
      <c r="Z348" s="49"/>
      <c r="AA348" s="49">
        <v>130000</v>
      </c>
      <c r="AB348" s="49"/>
      <c r="AC348" s="49">
        <v>0</v>
      </c>
      <c r="AD348" s="49"/>
      <c r="AE348" s="49">
        <v>0</v>
      </c>
      <c r="AF348" s="49"/>
      <c r="AG348" s="49">
        <v>0</v>
      </c>
      <c r="AH348" s="49"/>
      <c r="AI348" s="49">
        <f t="shared" si="18"/>
        <v>925014.31000000017</v>
      </c>
      <c r="AK348" s="6" t="str">
        <f>'Gen Rev'!A348</f>
        <v>Manchester</v>
      </c>
      <c r="AL348" s="6" t="str">
        <f t="shared" si="16"/>
        <v>Manchester</v>
      </c>
      <c r="AM348" s="6" t="b">
        <f t="shared" si="17"/>
        <v>1</v>
      </c>
    </row>
    <row r="349" spans="1:39" x14ac:dyDescent="0.2">
      <c r="A349" s="6" t="s">
        <v>180</v>
      </c>
      <c r="C349" s="6" t="s">
        <v>241</v>
      </c>
      <c r="E349" s="49">
        <v>72796.38</v>
      </c>
      <c r="F349" s="49"/>
      <c r="G349" s="49">
        <v>567481.04</v>
      </c>
      <c r="H349" s="49"/>
      <c r="I349" s="49">
        <v>208587.25</v>
      </c>
      <c r="J349" s="49"/>
      <c r="K349" s="49">
        <v>0</v>
      </c>
      <c r="L349" s="49"/>
      <c r="M349" s="49">
        <v>131495.93</v>
      </c>
      <c r="N349" s="49"/>
      <c r="O349" s="49">
        <v>32471.35</v>
      </c>
      <c r="P349" s="49"/>
      <c r="Q349" s="49">
        <v>1937.53</v>
      </c>
      <c r="R349" s="49"/>
      <c r="S349" s="49">
        <v>20504.95</v>
      </c>
      <c r="T349" s="49"/>
      <c r="U349" s="49">
        <v>0</v>
      </c>
      <c r="V349" s="49"/>
      <c r="W349" s="49">
        <v>0</v>
      </c>
      <c r="X349" s="49"/>
      <c r="Y349" s="49">
        <v>1350</v>
      </c>
      <c r="Z349" s="49"/>
      <c r="AA349" s="49">
        <v>16035.63</v>
      </c>
      <c r="AB349" s="49"/>
      <c r="AC349" s="49">
        <v>14009.76</v>
      </c>
      <c r="AD349" s="49"/>
      <c r="AE349" s="49">
        <v>27601.279999999999</v>
      </c>
      <c r="AF349" s="49"/>
      <c r="AG349" s="49">
        <v>396.1</v>
      </c>
      <c r="AH349" s="49"/>
      <c r="AI349" s="49">
        <f t="shared" si="18"/>
        <v>1094667.2000000002</v>
      </c>
      <c r="AK349" s="6" t="str">
        <f>'Gen Rev'!A349</f>
        <v>Mantua</v>
      </c>
      <c r="AL349" s="6" t="str">
        <f t="shared" si="16"/>
        <v>Mantua</v>
      </c>
      <c r="AM349" s="6" t="b">
        <f t="shared" si="17"/>
        <v>1</v>
      </c>
    </row>
    <row r="350" spans="1:39" x14ac:dyDescent="0.2">
      <c r="A350" s="6" t="s">
        <v>68</v>
      </c>
      <c r="C350" s="6" t="s">
        <v>329</v>
      </c>
      <c r="E350" s="49">
        <v>47255.19</v>
      </c>
      <c r="F350" s="49"/>
      <c r="G350" s="49">
        <v>1174046.6000000001</v>
      </c>
      <c r="H350" s="49"/>
      <c r="I350" s="49">
        <v>62617.34</v>
      </c>
      <c r="J350" s="49"/>
      <c r="K350" s="49">
        <v>0</v>
      </c>
      <c r="L350" s="49"/>
      <c r="M350" s="49">
        <v>0</v>
      </c>
      <c r="N350" s="49"/>
      <c r="O350" s="49">
        <v>65732.94</v>
      </c>
      <c r="P350" s="49"/>
      <c r="Q350" s="49">
        <v>12868.61</v>
      </c>
      <c r="R350" s="49"/>
      <c r="S350" s="49">
        <v>1638.27</v>
      </c>
      <c r="T350" s="49"/>
      <c r="U350" s="49">
        <v>0</v>
      </c>
      <c r="V350" s="49"/>
      <c r="W350" s="49">
        <v>0</v>
      </c>
      <c r="X350" s="49"/>
      <c r="Y350" s="49">
        <v>0</v>
      </c>
      <c r="Z350" s="49"/>
      <c r="AA350" s="49">
        <v>149092.59</v>
      </c>
      <c r="AB350" s="49"/>
      <c r="AC350" s="49">
        <v>0</v>
      </c>
      <c r="AD350" s="49"/>
      <c r="AE350" s="49">
        <v>0</v>
      </c>
      <c r="AF350" s="49"/>
      <c r="AG350" s="49">
        <v>0</v>
      </c>
      <c r="AH350" s="49"/>
      <c r="AI350" s="49">
        <f t="shared" si="18"/>
        <v>1513251.5400000003</v>
      </c>
      <c r="AK350" s="6" t="str">
        <f>'Gen Rev'!A350</f>
        <v>Marble Cliff</v>
      </c>
      <c r="AL350" s="6" t="str">
        <f t="shared" si="16"/>
        <v>Marble Cliff</v>
      </c>
      <c r="AM350" s="6" t="b">
        <f t="shared" si="17"/>
        <v>1</v>
      </c>
    </row>
    <row r="351" spans="1:39" x14ac:dyDescent="0.2">
      <c r="A351" s="6" t="s">
        <v>711</v>
      </c>
      <c r="C351" s="6" t="s">
        <v>192</v>
      </c>
      <c r="E351" s="49">
        <v>410970.7</v>
      </c>
      <c r="F351" s="49"/>
      <c r="G351" s="49">
        <v>0</v>
      </c>
      <c r="H351" s="49"/>
      <c r="I351" s="49">
        <v>247333.76000000001</v>
      </c>
      <c r="J351" s="49"/>
      <c r="K351" s="49">
        <v>22696.66</v>
      </c>
      <c r="L351" s="49"/>
      <c r="M351" s="49">
        <v>30136</v>
      </c>
      <c r="N351" s="49"/>
      <c r="O351" s="49">
        <v>27393.29</v>
      </c>
      <c r="P351" s="49"/>
      <c r="Q351" s="49">
        <v>2004.75</v>
      </c>
      <c r="R351" s="49"/>
      <c r="S351" s="49">
        <v>65028.94</v>
      </c>
      <c r="T351" s="49"/>
      <c r="U351" s="49">
        <v>0</v>
      </c>
      <c r="V351" s="49"/>
      <c r="W351" s="49">
        <v>0</v>
      </c>
      <c r="X351" s="49"/>
      <c r="Y351" s="49">
        <v>0</v>
      </c>
      <c r="Z351" s="49"/>
      <c r="AA351" s="49">
        <v>10265.5</v>
      </c>
      <c r="AB351" s="49"/>
      <c r="AC351" s="49">
        <v>0</v>
      </c>
      <c r="AD351" s="49"/>
      <c r="AE351" s="49">
        <v>0</v>
      </c>
      <c r="AF351" s="49"/>
      <c r="AG351" s="49">
        <v>0</v>
      </c>
      <c r="AH351" s="49"/>
      <c r="AI351" s="49">
        <f t="shared" si="18"/>
        <v>815829.60000000009</v>
      </c>
      <c r="AK351" s="6" t="str">
        <f>'Gen Rev'!A351</f>
        <v>Marblehead</v>
      </c>
      <c r="AL351" s="6" t="str">
        <f t="shared" si="16"/>
        <v>Marblehead</v>
      </c>
      <c r="AM351" s="6" t="b">
        <f t="shared" si="17"/>
        <v>1</v>
      </c>
    </row>
    <row r="352" spans="1:39" x14ac:dyDescent="0.2">
      <c r="A352" s="6" t="s">
        <v>159</v>
      </c>
      <c r="C352" s="6" t="s">
        <v>226</v>
      </c>
      <c r="E352" s="49">
        <v>10743.83</v>
      </c>
      <c r="F352" s="49"/>
      <c r="G352" s="49">
        <v>0</v>
      </c>
      <c r="H352" s="49"/>
      <c r="I352" s="49">
        <v>34770.769999999997</v>
      </c>
      <c r="J352" s="49"/>
      <c r="K352" s="49">
        <v>0</v>
      </c>
      <c r="L352" s="49"/>
      <c r="M352" s="49">
        <v>0</v>
      </c>
      <c r="N352" s="49"/>
      <c r="O352" s="49">
        <v>1797.79</v>
      </c>
      <c r="P352" s="49"/>
      <c r="Q352" s="49">
        <v>56.13</v>
      </c>
      <c r="R352" s="49"/>
      <c r="S352" s="49">
        <v>0</v>
      </c>
      <c r="T352" s="49"/>
      <c r="U352" s="49">
        <v>0</v>
      </c>
      <c r="V352" s="49"/>
      <c r="W352" s="49">
        <v>0</v>
      </c>
      <c r="X352" s="49"/>
      <c r="Y352" s="49">
        <v>0</v>
      </c>
      <c r="Z352" s="49"/>
      <c r="AA352" s="49">
        <v>0</v>
      </c>
      <c r="AB352" s="49"/>
      <c r="AC352" s="49">
        <v>0</v>
      </c>
      <c r="AD352" s="49"/>
      <c r="AE352" s="49">
        <v>50</v>
      </c>
      <c r="AF352" s="49"/>
      <c r="AG352" s="49">
        <v>0</v>
      </c>
      <c r="AH352" s="49"/>
      <c r="AI352" s="49">
        <f t="shared" si="18"/>
        <v>47418.52</v>
      </c>
      <c r="AK352" s="6" t="str">
        <f>'Gen Rev'!A352</f>
        <v>Marengo</v>
      </c>
      <c r="AL352" s="6" t="str">
        <f t="shared" si="16"/>
        <v>Marengo</v>
      </c>
      <c r="AM352" s="6" t="b">
        <f t="shared" si="17"/>
        <v>1</v>
      </c>
    </row>
    <row r="353" spans="1:39" x14ac:dyDescent="0.2">
      <c r="A353" s="6" t="s">
        <v>835</v>
      </c>
      <c r="C353" s="6" t="s">
        <v>566</v>
      </c>
      <c r="E353" s="49">
        <f>38+2783+88+174+75</f>
        <v>3158</v>
      </c>
      <c r="F353" s="49"/>
      <c r="G353" s="49">
        <v>0</v>
      </c>
      <c r="H353" s="49"/>
      <c r="I353" s="49">
        <f>332+332+825+1086+2148+920</f>
        <v>5643</v>
      </c>
      <c r="J353" s="49"/>
      <c r="K353" s="49">
        <v>0</v>
      </c>
      <c r="L353" s="49"/>
      <c r="M353" s="49">
        <v>3478</v>
      </c>
      <c r="N353" s="49"/>
      <c r="O353" s="49">
        <v>549</v>
      </c>
      <c r="P353" s="49"/>
      <c r="Q353" s="49">
        <v>4</v>
      </c>
      <c r="R353" s="49"/>
      <c r="S353" s="49">
        <v>90</v>
      </c>
      <c r="T353" s="49"/>
      <c r="U353" s="49">
        <v>0</v>
      </c>
      <c r="V353" s="49"/>
      <c r="W353" s="49">
        <v>0</v>
      </c>
      <c r="X353" s="49"/>
      <c r="Y353" s="49">
        <v>0</v>
      </c>
      <c r="Z353" s="49"/>
      <c r="AA353" s="49">
        <v>0</v>
      </c>
      <c r="AB353" s="49"/>
      <c r="AC353" s="49">
        <v>0</v>
      </c>
      <c r="AD353" s="49"/>
      <c r="AE353" s="49">
        <v>0</v>
      </c>
      <c r="AF353" s="49"/>
      <c r="AG353" s="49">
        <v>0</v>
      </c>
      <c r="AH353" s="49"/>
      <c r="AI353" s="49">
        <f t="shared" si="18"/>
        <v>12922</v>
      </c>
      <c r="AK353" s="6" t="str">
        <f>'Gen Rev'!A353</f>
        <v>Marseilles</v>
      </c>
      <c r="AL353" s="6" t="str">
        <f t="shared" si="16"/>
        <v>Marseilles</v>
      </c>
      <c r="AM353" s="6" t="b">
        <f t="shared" si="17"/>
        <v>1</v>
      </c>
    </row>
    <row r="354" spans="1:39" x14ac:dyDescent="0.2">
      <c r="A354" s="6" t="s">
        <v>632</v>
      </c>
      <c r="C354" s="6" t="s">
        <v>547</v>
      </c>
      <c r="E354" s="49">
        <v>36295</v>
      </c>
      <c r="F354" s="49"/>
      <c r="G354" s="49">
        <v>54947</v>
      </c>
      <c r="H354" s="49"/>
      <c r="I354" s="49">
        <v>73064</v>
      </c>
      <c r="J354" s="49"/>
      <c r="K354" s="49">
        <v>0</v>
      </c>
      <c r="L354" s="49"/>
      <c r="M354" s="49">
        <v>47737</v>
      </c>
      <c r="N354" s="49"/>
      <c r="O354" s="49">
        <v>17103</v>
      </c>
      <c r="P354" s="49"/>
      <c r="Q354" s="49">
        <v>692</v>
      </c>
      <c r="R354" s="49"/>
      <c r="S354" s="49">
        <v>18485</v>
      </c>
      <c r="T354" s="49"/>
      <c r="U354" s="49">
        <v>0</v>
      </c>
      <c r="V354" s="49"/>
      <c r="W354" s="49">
        <v>0</v>
      </c>
      <c r="X354" s="49"/>
      <c r="Y354" s="49">
        <v>0</v>
      </c>
      <c r="Z354" s="49"/>
      <c r="AA354" s="49">
        <v>52772</v>
      </c>
      <c r="AB354" s="49"/>
      <c r="AC354" s="49">
        <v>0</v>
      </c>
      <c r="AD354" s="49"/>
      <c r="AE354" s="49">
        <v>0</v>
      </c>
      <c r="AF354" s="49"/>
      <c r="AG354" s="49">
        <v>0</v>
      </c>
      <c r="AH354" s="49"/>
      <c r="AI354" s="49">
        <f t="shared" si="18"/>
        <v>301095</v>
      </c>
      <c r="AK354" s="6" t="str">
        <f>'Gen Rev'!A354</f>
        <v>Marshallville</v>
      </c>
      <c r="AL354" s="6" t="str">
        <f t="shared" si="16"/>
        <v>Marshallville</v>
      </c>
      <c r="AM354" s="6" t="b">
        <f t="shared" si="17"/>
        <v>1</v>
      </c>
    </row>
    <row r="355" spans="1:39" x14ac:dyDescent="0.2">
      <c r="A355" s="6" t="s">
        <v>115</v>
      </c>
      <c r="C355" s="6" t="s">
        <v>396</v>
      </c>
      <c r="E355" s="49">
        <v>13009.63</v>
      </c>
      <c r="F355" s="49"/>
      <c r="G355" s="49">
        <v>0</v>
      </c>
      <c r="H355" s="49"/>
      <c r="I355" s="49">
        <v>15156.71</v>
      </c>
      <c r="J355" s="49"/>
      <c r="K355" s="49">
        <v>0</v>
      </c>
      <c r="L355" s="49"/>
      <c r="M355" s="49">
        <v>0</v>
      </c>
      <c r="N355" s="49"/>
      <c r="O355" s="49">
        <v>0</v>
      </c>
      <c r="P355" s="49"/>
      <c r="Q355" s="49">
        <v>3.4</v>
      </c>
      <c r="R355" s="49"/>
      <c r="S355" s="49">
        <v>1530.65</v>
      </c>
      <c r="T355" s="49"/>
      <c r="U355" s="49">
        <v>0</v>
      </c>
      <c r="V355" s="49"/>
      <c r="W355" s="49">
        <v>0</v>
      </c>
      <c r="X355" s="49"/>
      <c r="Y355" s="49">
        <v>0</v>
      </c>
      <c r="Z355" s="49"/>
      <c r="AA355" s="49">
        <v>0</v>
      </c>
      <c r="AB355" s="49"/>
      <c r="AC355" s="49">
        <v>0</v>
      </c>
      <c r="AD355" s="49"/>
      <c r="AE355" s="49">
        <v>0</v>
      </c>
      <c r="AF355" s="49"/>
      <c r="AG355" s="49">
        <v>0</v>
      </c>
      <c r="AH355" s="49"/>
      <c r="AI355" s="49">
        <f t="shared" si="18"/>
        <v>29700.39</v>
      </c>
      <c r="AK355" s="6" t="str">
        <f>'Gen Rev'!A355</f>
        <v>Martinsburg</v>
      </c>
      <c r="AL355" s="6" t="str">
        <f t="shared" si="16"/>
        <v>Martinsburg</v>
      </c>
      <c r="AM355" s="6" t="b">
        <f t="shared" si="17"/>
        <v>1</v>
      </c>
    </row>
    <row r="356" spans="1:39" x14ac:dyDescent="0.2">
      <c r="A356" s="6" t="s">
        <v>230</v>
      </c>
      <c r="C356" s="6" t="s">
        <v>545</v>
      </c>
      <c r="E356" s="49">
        <v>36111.96</v>
      </c>
      <c r="F356" s="49"/>
      <c r="G356" s="49">
        <v>0</v>
      </c>
      <c r="H356" s="49"/>
      <c r="I356" s="49">
        <v>55494.47</v>
      </c>
      <c r="J356" s="49"/>
      <c r="K356" s="49">
        <v>3220</v>
      </c>
      <c r="L356" s="49"/>
      <c r="M356" s="49">
        <v>0</v>
      </c>
      <c r="N356" s="49"/>
      <c r="O356" s="49">
        <v>52414.05</v>
      </c>
      <c r="P356" s="49"/>
      <c r="Q356" s="49">
        <v>323.58</v>
      </c>
      <c r="R356" s="49"/>
      <c r="S356" s="49">
        <v>25812.53</v>
      </c>
      <c r="T356" s="49"/>
      <c r="U356" s="49">
        <v>0</v>
      </c>
      <c r="V356" s="49"/>
      <c r="W356" s="49">
        <v>0</v>
      </c>
      <c r="X356" s="49"/>
      <c r="Y356" s="49">
        <v>0</v>
      </c>
      <c r="Z356" s="49"/>
      <c r="AA356" s="49">
        <v>0</v>
      </c>
      <c r="AB356" s="49"/>
      <c r="AC356" s="49">
        <v>0</v>
      </c>
      <c r="AD356" s="49"/>
      <c r="AE356" s="49">
        <v>0</v>
      </c>
      <c r="AF356" s="49"/>
      <c r="AG356" s="49">
        <v>0</v>
      </c>
      <c r="AH356" s="49"/>
      <c r="AI356" s="49">
        <f t="shared" si="18"/>
        <v>173376.58999999997</v>
      </c>
      <c r="AK356" s="6" t="str">
        <f>'Gen Rev'!A356</f>
        <v>Matamoras</v>
      </c>
      <c r="AL356" s="6" t="str">
        <f t="shared" si="16"/>
        <v>Matamoras</v>
      </c>
      <c r="AM356" s="6" t="b">
        <f t="shared" si="17"/>
        <v>1</v>
      </c>
    </row>
    <row r="357" spans="1:39" x14ac:dyDescent="0.2">
      <c r="A357" s="6" t="s">
        <v>299</v>
      </c>
      <c r="C357" s="6" t="s">
        <v>293</v>
      </c>
      <c r="E357" s="49">
        <f>674723+249726+954639+58706</f>
        <v>1937794</v>
      </c>
      <c r="F357" s="49"/>
      <c r="G357" s="49">
        <v>16344492</v>
      </c>
      <c r="H357" s="49"/>
      <c r="I357" s="49">
        <v>647131</v>
      </c>
      <c r="J357" s="49"/>
      <c r="K357" s="49">
        <v>240978</v>
      </c>
      <c r="L357" s="49"/>
      <c r="M357" s="49">
        <f>647577+216629</f>
        <v>864206</v>
      </c>
      <c r="N357" s="49"/>
      <c r="O357" s="49">
        <f>109675+156275</f>
        <v>265950</v>
      </c>
      <c r="P357" s="49"/>
      <c r="Q357" s="49">
        <v>33486</v>
      </c>
      <c r="R357" s="49"/>
      <c r="S357" s="49">
        <f>255291+7968</f>
        <v>263259</v>
      </c>
      <c r="T357" s="49"/>
      <c r="U357" s="49">
        <v>0</v>
      </c>
      <c r="V357" s="49"/>
      <c r="W357" s="49">
        <f>1900000+5305</f>
        <v>1905305</v>
      </c>
      <c r="X357" s="49"/>
      <c r="Y357" s="49">
        <v>23945</v>
      </c>
      <c r="Z357" s="49"/>
      <c r="AA357" s="49">
        <v>2841444</v>
      </c>
      <c r="AB357" s="49"/>
      <c r="AC357" s="49">
        <v>1067418</v>
      </c>
      <c r="AD357" s="49"/>
      <c r="AE357" s="49">
        <v>0</v>
      </c>
      <c r="AF357" s="49"/>
      <c r="AG357" s="49">
        <v>0</v>
      </c>
      <c r="AH357" s="49"/>
      <c r="AI357" s="49">
        <f t="shared" si="18"/>
        <v>26435408</v>
      </c>
      <c r="AK357" s="6" t="str">
        <f>'Gen Rev'!A357</f>
        <v>Mayfield</v>
      </c>
      <c r="AL357" s="6" t="str">
        <f t="shared" si="16"/>
        <v>Mayfield</v>
      </c>
      <c r="AM357" s="6" t="b">
        <f t="shared" si="17"/>
        <v>1</v>
      </c>
    </row>
    <row r="358" spans="1:39" x14ac:dyDescent="0.2">
      <c r="A358" s="6" t="s">
        <v>857</v>
      </c>
      <c r="C358" s="6" t="s">
        <v>77</v>
      </c>
      <c r="E358" s="49">
        <v>324423.78999999998</v>
      </c>
      <c r="F358" s="49"/>
      <c r="G358" s="49">
        <v>0</v>
      </c>
      <c r="H358" s="49"/>
      <c r="I358" s="49">
        <v>238810.76</v>
      </c>
      <c r="J358" s="49"/>
      <c r="K358" s="49">
        <v>0</v>
      </c>
      <c r="L358" s="49"/>
      <c r="M358" s="49">
        <v>77702.92</v>
      </c>
      <c r="N358" s="49"/>
      <c r="O358" s="49">
        <v>22358.5</v>
      </c>
      <c r="P358" s="49"/>
      <c r="Q358" s="49">
        <v>749.91</v>
      </c>
      <c r="R358" s="49"/>
      <c r="S358" s="49">
        <v>35525.93</v>
      </c>
      <c r="T358" s="49"/>
      <c r="U358" s="49">
        <v>0</v>
      </c>
      <c r="V358" s="49"/>
      <c r="W358" s="49">
        <v>0</v>
      </c>
      <c r="X358" s="49"/>
      <c r="Y358" s="49">
        <v>0</v>
      </c>
      <c r="Z358" s="49"/>
      <c r="AA358" s="49">
        <v>20557.12</v>
      </c>
      <c r="AB358" s="49"/>
      <c r="AC358" s="49">
        <v>5000</v>
      </c>
      <c r="AD358" s="49"/>
      <c r="AE358" s="49">
        <v>10847.51</v>
      </c>
      <c r="AF358" s="49"/>
      <c r="AG358" s="49">
        <v>0</v>
      </c>
      <c r="AH358" s="49"/>
      <c r="AI358" s="49">
        <f t="shared" si="18"/>
        <v>735976.44000000018</v>
      </c>
      <c r="AK358" s="6" t="str">
        <f>'Gen Rev'!A358</f>
        <v>Mcarthur</v>
      </c>
      <c r="AL358" s="6" t="str">
        <f t="shared" si="16"/>
        <v>Mcarthur</v>
      </c>
      <c r="AM358" s="6" t="b">
        <f t="shared" si="17"/>
        <v>1</v>
      </c>
    </row>
    <row r="359" spans="1:39" x14ac:dyDescent="0.2">
      <c r="A359" s="6" t="s">
        <v>103</v>
      </c>
      <c r="C359" s="6" t="s">
        <v>377</v>
      </c>
      <c r="E359" s="49">
        <v>24461.35</v>
      </c>
      <c r="F359" s="49"/>
      <c r="G359" s="49">
        <v>81306.559999999998</v>
      </c>
      <c r="H359" s="49"/>
      <c r="I359" s="49">
        <v>58634.22</v>
      </c>
      <c r="J359" s="49"/>
      <c r="K359" s="49">
        <v>0</v>
      </c>
      <c r="L359" s="49"/>
      <c r="M359" s="49">
        <v>0</v>
      </c>
      <c r="N359" s="49"/>
      <c r="O359" s="49">
        <v>3836.31</v>
      </c>
      <c r="P359" s="49"/>
      <c r="Q359" s="49">
        <v>27.97</v>
      </c>
      <c r="R359" s="49"/>
      <c r="S359" s="49">
        <v>11835.32</v>
      </c>
      <c r="T359" s="49"/>
      <c r="U359" s="49">
        <v>0</v>
      </c>
      <c r="V359" s="49"/>
      <c r="W359" s="49">
        <v>0</v>
      </c>
      <c r="X359" s="49"/>
      <c r="Y359" s="49">
        <v>0</v>
      </c>
      <c r="Z359" s="49"/>
      <c r="AA359" s="49">
        <v>0</v>
      </c>
      <c r="AB359" s="49"/>
      <c r="AC359" s="49">
        <v>0</v>
      </c>
      <c r="AD359" s="49"/>
      <c r="AE359" s="49">
        <v>0</v>
      </c>
      <c r="AF359" s="49"/>
      <c r="AG359" s="49">
        <v>0</v>
      </c>
      <c r="AH359" s="49"/>
      <c r="AI359" s="49">
        <f t="shared" si="18"/>
        <v>180101.73</v>
      </c>
      <c r="AK359" s="6" t="str">
        <f>'Gen Rev'!A359</f>
        <v>Mcclure</v>
      </c>
      <c r="AL359" s="6" t="str">
        <f t="shared" si="16"/>
        <v>Mcclure</v>
      </c>
      <c r="AM359" s="6" t="b">
        <f t="shared" si="17"/>
        <v>1</v>
      </c>
    </row>
    <row r="360" spans="1:39" x14ac:dyDescent="0.2">
      <c r="A360" s="6" t="s">
        <v>361</v>
      </c>
      <c r="C360" s="6" t="s">
        <v>360</v>
      </c>
      <c r="E360" s="49">
        <v>66964</v>
      </c>
      <c r="F360" s="49"/>
      <c r="G360" s="49">
        <v>704303</v>
      </c>
      <c r="H360" s="49"/>
      <c r="I360" s="49">
        <v>115352</v>
      </c>
      <c r="J360" s="49"/>
      <c r="K360" s="49">
        <v>156849</v>
      </c>
      <c r="L360" s="49"/>
      <c r="M360" s="49">
        <v>19761</v>
      </c>
      <c r="N360" s="49"/>
      <c r="O360" s="49">
        <v>7030</v>
      </c>
      <c r="P360" s="49"/>
      <c r="Q360" s="49">
        <v>3745</v>
      </c>
      <c r="R360" s="49"/>
      <c r="S360" s="49">
        <v>227348</v>
      </c>
      <c r="T360" s="49"/>
      <c r="U360" s="49">
        <v>0</v>
      </c>
      <c r="V360" s="49"/>
      <c r="W360" s="49">
        <v>0</v>
      </c>
      <c r="X360" s="49"/>
      <c r="Y360" s="49">
        <v>0</v>
      </c>
      <c r="Z360" s="49"/>
      <c r="AA360" s="49">
        <v>17028</v>
      </c>
      <c r="AB360" s="49"/>
      <c r="AC360" s="49">
        <v>0</v>
      </c>
      <c r="AD360" s="49"/>
      <c r="AE360" s="49">
        <v>0</v>
      </c>
      <c r="AF360" s="49"/>
      <c r="AG360" s="49">
        <v>0</v>
      </c>
      <c r="AH360" s="49"/>
      <c r="AI360" s="49">
        <f t="shared" si="18"/>
        <v>1318380</v>
      </c>
      <c r="AK360" s="6" t="str">
        <f>'Gen Rev'!A360</f>
        <v>McComb</v>
      </c>
      <c r="AL360" s="6" t="str">
        <f t="shared" si="16"/>
        <v>McComb</v>
      </c>
      <c r="AM360" s="6" t="b">
        <f t="shared" si="17"/>
        <v>1</v>
      </c>
    </row>
    <row r="361" spans="1:39" x14ac:dyDescent="0.2">
      <c r="A361" s="6" t="s">
        <v>154</v>
      </c>
      <c r="C361" s="6" t="s">
        <v>765</v>
      </c>
      <c r="E361" s="49">
        <v>83178.95</v>
      </c>
      <c r="F361" s="49"/>
      <c r="G361" s="49">
        <v>376386.91</v>
      </c>
      <c r="H361" s="49"/>
      <c r="I361" s="49">
        <v>570304.16</v>
      </c>
      <c r="J361" s="49"/>
      <c r="K361" s="49">
        <v>0</v>
      </c>
      <c r="L361" s="49"/>
      <c r="M361" s="49">
        <v>46390.12</v>
      </c>
      <c r="N361" s="49"/>
      <c r="O361" s="49">
        <v>65127.62</v>
      </c>
      <c r="P361" s="49"/>
      <c r="Q361" s="49">
        <v>50985.31</v>
      </c>
      <c r="R361" s="49"/>
      <c r="S361" s="49">
        <v>62303.8</v>
      </c>
      <c r="T361" s="49"/>
      <c r="U361" s="49">
        <v>0</v>
      </c>
      <c r="V361" s="49"/>
      <c r="W361" s="49">
        <v>0</v>
      </c>
      <c r="X361" s="49"/>
      <c r="Y361" s="49">
        <v>0</v>
      </c>
      <c r="Z361" s="49"/>
      <c r="AA361" s="49">
        <v>0</v>
      </c>
      <c r="AB361" s="49"/>
      <c r="AC361" s="49">
        <v>0</v>
      </c>
      <c r="AD361" s="49"/>
      <c r="AE361" s="49">
        <v>0</v>
      </c>
      <c r="AF361" s="49"/>
      <c r="AG361" s="49">
        <v>0</v>
      </c>
      <c r="AH361" s="49"/>
      <c r="AI361" s="49">
        <f t="shared" si="18"/>
        <v>1254676.8700000003</v>
      </c>
      <c r="AK361" s="6" t="str">
        <f>'Gen Rev'!A361</f>
        <v>Mcconnelsville</v>
      </c>
      <c r="AL361" s="6" t="str">
        <f t="shared" si="16"/>
        <v>Mcconnelsville</v>
      </c>
      <c r="AM361" s="6" t="b">
        <f t="shared" si="17"/>
        <v>1</v>
      </c>
    </row>
    <row r="362" spans="1:39" x14ac:dyDescent="0.2">
      <c r="A362" s="6" t="s">
        <v>519</v>
      </c>
      <c r="C362" s="6" t="s">
        <v>518</v>
      </c>
      <c r="E362" s="49">
        <v>169</v>
      </c>
      <c r="F362" s="49"/>
      <c r="G362" s="49">
        <v>0</v>
      </c>
      <c r="H362" s="49"/>
      <c r="I362" s="49">
        <v>606730</v>
      </c>
      <c r="J362" s="49"/>
      <c r="K362" s="49">
        <v>0</v>
      </c>
      <c r="L362" s="49"/>
      <c r="M362" s="49">
        <v>86028</v>
      </c>
      <c r="N362" s="49"/>
      <c r="O362" s="49">
        <v>24919</v>
      </c>
      <c r="P362" s="49"/>
      <c r="Q362" s="49">
        <v>8232</v>
      </c>
      <c r="R362" s="49"/>
      <c r="S362" s="49">
        <v>48119</v>
      </c>
      <c r="T362" s="49"/>
      <c r="U362" s="49">
        <v>0</v>
      </c>
      <c r="V362" s="49"/>
      <c r="W362" s="49">
        <v>0</v>
      </c>
      <c r="X362" s="49"/>
      <c r="Y362" s="49">
        <v>0</v>
      </c>
      <c r="Z362" s="49"/>
      <c r="AA362" s="49">
        <v>970429</v>
      </c>
      <c r="AB362" s="49"/>
      <c r="AC362" s="49">
        <v>0</v>
      </c>
      <c r="AD362" s="49"/>
      <c r="AE362" s="49">
        <v>0</v>
      </c>
      <c r="AF362" s="49"/>
      <c r="AG362" s="49">
        <v>0</v>
      </c>
      <c r="AH362" s="49"/>
      <c r="AI362" s="49">
        <f t="shared" si="18"/>
        <v>1744626</v>
      </c>
      <c r="AK362" s="6" t="str">
        <f>'Gen Rev'!A362</f>
        <v>McDonald</v>
      </c>
      <c r="AL362" s="6" t="str">
        <f t="shared" si="16"/>
        <v>McDonald</v>
      </c>
      <c r="AM362" s="6" t="b">
        <f t="shared" si="17"/>
        <v>1</v>
      </c>
    </row>
    <row r="363" spans="1:39" x14ac:dyDescent="0.2">
      <c r="A363" s="6" t="s">
        <v>369</v>
      </c>
      <c r="C363" s="6" t="s">
        <v>366</v>
      </c>
      <c r="E363" s="49">
        <v>6066</v>
      </c>
      <c r="F363" s="49"/>
      <c r="G363" s="49">
        <v>48875</v>
      </c>
      <c r="H363" s="49"/>
      <c r="I363" s="49">
        <f>11065+29565</f>
        <v>40630</v>
      </c>
      <c r="J363" s="49"/>
      <c r="K363" s="49">
        <v>8547</v>
      </c>
      <c r="L363" s="49"/>
      <c r="M363" s="49">
        <v>16100</v>
      </c>
      <c r="N363" s="49"/>
      <c r="O363" s="49">
        <f>2670+6118</f>
        <v>8788</v>
      </c>
      <c r="P363" s="49"/>
      <c r="Q363" s="49">
        <f>1050+330</f>
        <v>1380</v>
      </c>
      <c r="R363" s="49"/>
      <c r="S363" s="49">
        <f>3133+249</f>
        <v>3382</v>
      </c>
      <c r="T363" s="49"/>
      <c r="U363" s="49">
        <v>0</v>
      </c>
      <c r="V363" s="49"/>
      <c r="W363" s="49">
        <v>0</v>
      </c>
      <c r="X363" s="49"/>
      <c r="Y363" s="49">
        <v>0</v>
      </c>
      <c r="Z363" s="49"/>
      <c r="AA363" s="49">
        <v>0</v>
      </c>
      <c r="AB363" s="49"/>
      <c r="AC363" s="49">
        <v>0</v>
      </c>
      <c r="AD363" s="49"/>
      <c r="AE363" s="49">
        <v>0</v>
      </c>
      <c r="AF363" s="49"/>
      <c r="AG363" s="49">
        <v>0</v>
      </c>
      <c r="AH363" s="49"/>
      <c r="AI363" s="49">
        <f t="shared" si="18"/>
        <v>133768</v>
      </c>
      <c r="AK363" s="6" t="str">
        <f>'Gen Rev'!A363</f>
        <v>Mcguffey</v>
      </c>
      <c r="AL363" s="6" t="str">
        <f t="shared" si="16"/>
        <v>Mcguffey</v>
      </c>
      <c r="AM363" s="6" t="b">
        <f t="shared" si="17"/>
        <v>1</v>
      </c>
    </row>
    <row r="364" spans="1:39" x14ac:dyDescent="0.2">
      <c r="A364" s="6" t="s">
        <v>268</v>
      </c>
      <c r="C364" s="6" t="s">
        <v>269</v>
      </c>
      <c r="E364" s="49">
        <v>107316.36</v>
      </c>
      <c r="F364" s="49"/>
      <c r="G364" s="49">
        <v>344010.81</v>
      </c>
      <c r="H364" s="49"/>
      <c r="I364" s="49">
        <v>359506.98</v>
      </c>
      <c r="J364" s="49"/>
      <c r="K364" s="49">
        <v>0</v>
      </c>
      <c r="L364" s="49"/>
      <c r="M364" s="49">
        <v>262271.35999999999</v>
      </c>
      <c r="N364" s="49"/>
      <c r="O364" s="49">
        <v>14277.1</v>
      </c>
      <c r="P364" s="49"/>
      <c r="Q364" s="49">
        <v>1471.7</v>
      </c>
      <c r="R364" s="49"/>
      <c r="S364" s="49">
        <v>138126.78</v>
      </c>
      <c r="T364" s="49"/>
      <c r="U364" s="49">
        <v>0</v>
      </c>
      <c r="V364" s="49"/>
      <c r="W364" s="49">
        <v>0</v>
      </c>
      <c r="X364" s="49"/>
      <c r="Y364" s="49">
        <v>13745.23</v>
      </c>
      <c r="Z364" s="49"/>
      <c r="AA364" s="49">
        <v>100137.94</v>
      </c>
      <c r="AB364" s="49"/>
      <c r="AC364" s="49">
        <v>0</v>
      </c>
      <c r="AD364" s="49"/>
      <c r="AE364" s="49">
        <v>0</v>
      </c>
      <c r="AF364" s="49"/>
      <c r="AG364" s="49">
        <v>0</v>
      </c>
      <c r="AH364" s="49"/>
      <c r="AI364" s="49">
        <f t="shared" si="18"/>
        <v>1340864.2599999998</v>
      </c>
      <c r="AK364" s="6" t="str">
        <f>'Gen Rev'!A364</f>
        <v>Mechanicsburg</v>
      </c>
      <c r="AL364" s="6" t="str">
        <f t="shared" si="16"/>
        <v>Mechanicsburg</v>
      </c>
      <c r="AM364" s="6" t="b">
        <f t="shared" si="17"/>
        <v>1</v>
      </c>
    </row>
    <row r="365" spans="1:39" x14ac:dyDescent="0.2">
      <c r="A365" s="6" t="s">
        <v>171</v>
      </c>
      <c r="C365" s="6" t="s">
        <v>460</v>
      </c>
      <c r="E365" s="49">
        <v>11508.43</v>
      </c>
      <c r="F365" s="49"/>
      <c r="G365" s="49">
        <v>18900.21</v>
      </c>
      <c r="H365" s="49"/>
      <c r="I365" s="49">
        <v>22245.21</v>
      </c>
      <c r="J365" s="49"/>
      <c r="K365" s="49">
        <v>84.04</v>
      </c>
      <c r="L365" s="49"/>
      <c r="M365" s="49">
        <v>0</v>
      </c>
      <c r="N365" s="49"/>
      <c r="O365" s="49">
        <v>305.12</v>
      </c>
      <c r="P365" s="49"/>
      <c r="Q365" s="49">
        <v>0</v>
      </c>
      <c r="R365" s="49"/>
      <c r="S365" s="49">
        <v>3491.41</v>
      </c>
      <c r="T365" s="49"/>
      <c r="U365" s="49">
        <v>0</v>
      </c>
      <c r="V365" s="49"/>
      <c r="W365" s="49">
        <v>0</v>
      </c>
      <c r="X365" s="49"/>
      <c r="Y365" s="49">
        <v>0</v>
      </c>
      <c r="Z365" s="49"/>
      <c r="AA365" s="49">
        <v>0</v>
      </c>
      <c r="AB365" s="49"/>
      <c r="AC365" s="49">
        <v>0</v>
      </c>
      <c r="AD365" s="49"/>
      <c r="AE365" s="49">
        <v>0</v>
      </c>
      <c r="AF365" s="49"/>
      <c r="AG365" s="49">
        <v>0</v>
      </c>
      <c r="AH365" s="49"/>
      <c r="AI365" s="49">
        <f t="shared" si="18"/>
        <v>56534.42</v>
      </c>
      <c r="AK365" s="6" t="str">
        <f>'Gen Rev'!A365</f>
        <v>Melrose</v>
      </c>
      <c r="AL365" s="6" t="str">
        <f t="shared" si="16"/>
        <v>Melrose</v>
      </c>
      <c r="AM365" s="6" t="b">
        <f t="shared" si="17"/>
        <v>1</v>
      </c>
    </row>
    <row r="366" spans="1:39" x14ac:dyDescent="0.2">
      <c r="A366" s="6" t="s">
        <v>717</v>
      </c>
      <c r="C366" s="6" t="s">
        <v>433</v>
      </c>
      <c r="E366" s="49">
        <v>22492.91</v>
      </c>
      <c r="F366" s="49"/>
      <c r="G366" s="49">
        <v>0</v>
      </c>
      <c r="H366" s="49"/>
      <c r="I366" s="49">
        <v>34289.4</v>
      </c>
      <c r="J366" s="49"/>
      <c r="K366" s="49">
        <v>0</v>
      </c>
      <c r="L366" s="49"/>
      <c r="M366" s="49">
        <v>10651.1</v>
      </c>
      <c r="N366" s="49"/>
      <c r="O366" s="49">
        <v>4490.62</v>
      </c>
      <c r="P366" s="49"/>
      <c r="Q366" s="49">
        <v>201.92</v>
      </c>
      <c r="R366" s="49"/>
      <c r="S366" s="49">
        <v>14373.23</v>
      </c>
      <c r="T366" s="49"/>
      <c r="U366" s="49">
        <v>0</v>
      </c>
      <c r="V366" s="49"/>
      <c r="W366" s="49">
        <v>0</v>
      </c>
      <c r="X366" s="49"/>
      <c r="Y366" s="49">
        <v>0</v>
      </c>
      <c r="Z366" s="49"/>
      <c r="AA366" s="49">
        <v>0</v>
      </c>
      <c r="AB366" s="49"/>
      <c r="AC366" s="49">
        <v>0</v>
      </c>
      <c r="AD366" s="49"/>
      <c r="AE366" s="49">
        <v>0</v>
      </c>
      <c r="AF366" s="49"/>
      <c r="AG366" s="49">
        <v>0</v>
      </c>
      <c r="AH366" s="49"/>
      <c r="AI366" s="49">
        <f t="shared" si="18"/>
        <v>86499.18</v>
      </c>
      <c r="AK366" s="6" t="str">
        <f>'Gen Rev'!A366</f>
        <v>Mendon</v>
      </c>
      <c r="AL366" s="6" t="str">
        <f t="shared" si="16"/>
        <v>Mendon</v>
      </c>
      <c r="AM366" s="6" t="b">
        <f t="shared" si="17"/>
        <v>1</v>
      </c>
    </row>
    <row r="367" spans="1:39" x14ac:dyDescent="0.2">
      <c r="A367" s="6" t="s">
        <v>335</v>
      </c>
      <c r="C367" s="6" t="s">
        <v>332</v>
      </c>
      <c r="E367" s="49">
        <v>30420</v>
      </c>
      <c r="F367" s="49"/>
      <c r="G367" s="49">
        <v>256671</v>
      </c>
      <c r="H367" s="49"/>
      <c r="I367" s="49">
        <v>129253</v>
      </c>
      <c r="J367" s="49"/>
      <c r="K367" s="49">
        <v>0</v>
      </c>
      <c r="L367" s="49"/>
      <c r="M367" s="49">
        <v>3085</v>
      </c>
      <c r="N367" s="49"/>
      <c r="O367" s="49">
        <v>1167</v>
      </c>
      <c r="P367" s="49"/>
      <c r="Q367" s="49">
        <v>248</v>
      </c>
      <c r="R367" s="49"/>
      <c r="S367" s="49">
        <v>29073</v>
      </c>
      <c r="T367" s="49"/>
      <c r="U367" s="49">
        <v>350000</v>
      </c>
      <c r="V367" s="49"/>
      <c r="W367" s="49">
        <v>0</v>
      </c>
      <c r="X367" s="49"/>
      <c r="Y367" s="49">
        <v>1174</v>
      </c>
      <c r="Z367" s="49"/>
      <c r="AA367" s="49">
        <v>14364</v>
      </c>
      <c r="AB367" s="49"/>
      <c r="AC367" s="49">
        <v>0</v>
      </c>
      <c r="AD367" s="49"/>
      <c r="AE367" s="49">
        <v>0</v>
      </c>
      <c r="AF367" s="49"/>
      <c r="AG367" s="49">
        <v>0</v>
      </c>
      <c r="AH367" s="49"/>
      <c r="AI367" s="49">
        <f t="shared" si="18"/>
        <v>815455</v>
      </c>
      <c r="AK367" s="6" t="str">
        <f>'Gen Rev'!A367</f>
        <v>Metamora</v>
      </c>
      <c r="AL367" s="6" t="str">
        <f t="shared" si="16"/>
        <v>Metamora</v>
      </c>
      <c r="AM367" s="6" t="b">
        <f t="shared" si="17"/>
        <v>1</v>
      </c>
    </row>
    <row r="368" spans="1:39" x14ac:dyDescent="0.2">
      <c r="A368" s="6" t="s">
        <v>212</v>
      </c>
      <c r="C368" s="6" t="s">
        <v>502</v>
      </c>
      <c r="E368" s="49">
        <v>74822.97</v>
      </c>
      <c r="F368" s="49"/>
      <c r="G368" s="49">
        <v>0</v>
      </c>
      <c r="H368" s="49"/>
      <c r="I368" s="49">
        <v>57284.81</v>
      </c>
      <c r="J368" s="49"/>
      <c r="K368" s="49">
        <v>0</v>
      </c>
      <c r="L368" s="49"/>
      <c r="M368" s="49">
        <v>20648.95</v>
      </c>
      <c r="N368" s="49"/>
      <c r="O368" s="49">
        <v>13213.6</v>
      </c>
      <c r="P368" s="49"/>
      <c r="Q368" s="49">
        <v>150.65</v>
      </c>
      <c r="R368" s="49"/>
      <c r="S368" s="49">
        <v>10942.53</v>
      </c>
      <c r="T368" s="49"/>
      <c r="U368" s="49">
        <v>0</v>
      </c>
      <c r="V368" s="49"/>
      <c r="W368" s="49">
        <v>0</v>
      </c>
      <c r="X368" s="49"/>
      <c r="Y368" s="49">
        <v>0</v>
      </c>
      <c r="Z368" s="49"/>
      <c r="AA368" s="49">
        <v>0</v>
      </c>
      <c r="AB368" s="49"/>
      <c r="AC368" s="49">
        <v>0</v>
      </c>
      <c r="AD368" s="49"/>
      <c r="AE368" s="49">
        <v>0</v>
      </c>
      <c r="AF368" s="49"/>
      <c r="AG368" s="49">
        <v>0</v>
      </c>
      <c r="AH368" s="49"/>
      <c r="AI368" s="49">
        <f t="shared" si="18"/>
        <v>177063.51</v>
      </c>
      <c r="AK368" s="6" t="str">
        <f>'Gen Rev'!A368</f>
        <v>Meyers Lake</v>
      </c>
      <c r="AL368" s="6" t="str">
        <f t="shared" si="16"/>
        <v>Meyers Lake</v>
      </c>
      <c r="AM368" s="6" t="b">
        <f t="shared" si="17"/>
        <v>1</v>
      </c>
    </row>
    <row r="369" spans="1:39" x14ac:dyDescent="0.2">
      <c r="A369" s="6" t="s">
        <v>805</v>
      </c>
      <c r="C369" s="6" t="s">
        <v>532</v>
      </c>
      <c r="E369" s="49">
        <v>22724.17</v>
      </c>
      <c r="F369" s="49"/>
      <c r="G369" s="49">
        <v>63300.94</v>
      </c>
      <c r="H369" s="49"/>
      <c r="I369" s="49">
        <v>362862.19</v>
      </c>
      <c r="J369" s="49"/>
      <c r="K369" s="49">
        <v>0</v>
      </c>
      <c r="L369" s="49"/>
      <c r="M369" s="49">
        <v>132158.97</v>
      </c>
      <c r="N369" s="49"/>
      <c r="O369" s="49">
        <v>2594.0700000000002</v>
      </c>
      <c r="P369" s="49"/>
      <c r="Q369" s="49">
        <v>44.92</v>
      </c>
      <c r="R369" s="49"/>
      <c r="S369" s="49">
        <v>4288.95</v>
      </c>
      <c r="T369" s="49"/>
      <c r="U369" s="49">
        <v>0</v>
      </c>
      <c r="V369" s="49"/>
      <c r="W369" s="49">
        <v>0</v>
      </c>
      <c r="X369" s="49"/>
      <c r="Y369" s="49">
        <v>0</v>
      </c>
      <c r="Z369" s="49"/>
      <c r="AA369" s="49">
        <v>3525.42</v>
      </c>
      <c r="AB369" s="49"/>
      <c r="AC369" s="49">
        <v>0</v>
      </c>
      <c r="AD369" s="49"/>
      <c r="AE369" s="49">
        <v>0</v>
      </c>
      <c r="AF369" s="49"/>
      <c r="AG369" s="49">
        <v>0</v>
      </c>
      <c r="AH369" s="49"/>
      <c r="AI369" s="49">
        <f t="shared" si="18"/>
        <v>591499.63</v>
      </c>
      <c r="AK369" s="6" t="str">
        <f>'Gen Rev'!A369</f>
        <v>Middle Point</v>
      </c>
      <c r="AL369" s="6" t="str">
        <f t="shared" si="16"/>
        <v>Middle Point</v>
      </c>
      <c r="AM369" s="6" t="b">
        <f t="shared" si="17"/>
        <v>1</v>
      </c>
    </row>
    <row r="370" spans="1:39" x14ac:dyDescent="0.2">
      <c r="A370" s="6" t="s">
        <v>341</v>
      </c>
      <c r="C370" s="6" t="s">
        <v>342</v>
      </c>
      <c r="E370" s="49">
        <v>311659</v>
      </c>
      <c r="F370" s="49"/>
      <c r="G370" s="49">
        <v>2372336</v>
      </c>
      <c r="H370" s="49"/>
      <c r="I370" s="49">
        <v>205996</v>
      </c>
      <c r="J370" s="49"/>
      <c r="K370" s="49">
        <v>0</v>
      </c>
      <c r="L370" s="49"/>
      <c r="M370" s="49">
        <v>146569</v>
      </c>
      <c r="N370" s="49"/>
      <c r="O370" s="49">
        <v>69530</v>
      </c>
      <c r="P370" s="49"/>
      <c r="Q370" s="49">
        <v>3122</v>
      </c>
      <c r="R370" s="49"/>
      <c r="S370" s="49">
        <f>14818+393210</f>
        <v>408028</v>
      </c>
      <c r="T370" s="49"/>
      <c r="U370" s="49">
        <v>0</v>
      </c>
      <c r="V370" s="49"/>
      <c r="W370" s="49">
        <v>0</v>
      </c>
      <c r="X370" s="49"/>
      <c r="Y370" s="49">
        <v>0</v>
      </c>
      <c r="Z370" s="49"/>
      <c r="AA370" s="49">
        <v>157250</v>
      </c>
      <c r="AB370" s="49"/>
      <c r="AC370" s="49">
        <v>0</v>
      </c>
      <c r="AD370" s="49"/>
      <c r="AE370" s="49">
        <v>0</v>
      </c>
      <c r="AF370" s="49"/>
      <c r="AG370" s="49">
        <v>0</v>
      </c>
      <c r="AH370" s="49"/>
      <c r="AI370" s="49">
        <f t="shared" si="18"/>
        <v>3674490</v>
      </c>
      <c r="AK370" s="6" t="str">
        <f>'Gen Rev'!A370</f>
        <v>Middlefield</v>
      </c>
      <c r="AL370" s="6" t="str">
        <f t="shared" si="16"/>
        <v>Middlefield</v>
      </c>
      <c r="AM370" s="6" t="b">
        <f t="shared" si="17"/>
        <v>1</v>
      </c>
    </row>
    <row r="371" spans="1:39" x14ac:dyDescent="0.2">
      <c r="A371" s="6" t="s">
        <v>145</v>
      </c>
      <c r="C371" s="6" t="s">
        <v>431</v>
      </c>
      <c r="E371" s="49">
        <v>179250.39</v>
      </c>
      <c r="F371" s="49"/>
      <c r="G371" s="49">
        <v>215788.51</v>
      </c>
      <c r="H371" s="49"/>
      <c r="I371" s="49">
        <v>315726.8</v>
      </c>
      <c r="J371" s="49"/>
      <c r="K371" s="49">
        <v>0</v>
      </c>
      <c r="L371" s="49"/>
      <c r="M371" s="49">
        <v>600672.62</v>
      </c>
      <c r="N371" s="49"/>
      <c r="O371" s="49">
        <v>106470.64</v>
      </c>
      <c r="P371" s="49"/>
      <c r="Q371" s="49">
        <v>2496.98</v>
      </c>
      <c r="R371" s="49"/>
      <c r="S371" s="49">
        <v>13680.75</v>
      </c>
      <c r="T371" s="49"/>
      <c r="U371" s="49">
        <v>0</v>
      </c>
      <c r="V371" s="49"/>
      <c r="W371" s="49">
        <v>0</v>
      </c>
      <c r="X371" s="49"/>
      <c r="Y371" s="49">
        <v>0</v>
      </c>
      <c r="Z371" s="49"/>
      <c r="AA371" s="49">
        <v>0</v>
      </c>
      <c r="AB371" s="49"/>
      <c r="AC371" s="49">
        <v>0</v>
      </c>
      <c r="AD371" s="49"/>
      <c r="AE371" s="49">
        <v>146.57</v>
      </c>
      <c r="AF371" s="49"/>
      <c r="AG371" s="49">
        <v>0</v>
      </c>
      <c r="AH371" s="49"/>
      <c r="AI371" s="49">
        <f t="shared" si="18"/>
        <v>1434233.2599999998</v>
      </c>
      <c r="AK371" s="6" t="str">
        <f>'Gen Rev'!A371</f>
        <v>Middleport</v>
      </c>
      <c r="AL371" s="6" t="str">
        <f t="shared" si="16"/>
        <v>Middleport</v>
      </c>
      <c r="AM371" s="6" t="b">
        <f t="shared" si="17"/>
        <v>1</v>
      </c>
    </row>
    <row r="372" spans="1:39" x14ac:dyDescent="0.2">
      <c r="A372" s="6" t="s">
        <v>772</v>
      </c>
      <c r="C372" s="6" t="s">
        <v>280</v>
      </c>
      <c r="E372" s="49">
        <v>17812.330000000002</v>
      </c>
      <c r="F372" s="49"/>
      <c r="G372" s="49">
        <v>0</v>
      </c>
      <c r="H372" s="49"/>
      <c r="I372" s="49">
        <v>111478.14</v>
      </c>
      <c r="J372" s="49"/>
      <c r="K372" s="49">
        <v>0</v>
      </c>
      <c r="L372" s="49"/>
      <c r="M372" s="49">
        <v>0</v>
      </c>
      <c r="N372" s="49"/>
      <c r="O372" s="49">
        <v>5527.74</v>
      </c>
      <c r="P372" s="49"/>
      <c r="Q372" s="49">
        <v>0</v>
      </c>
      <c r="R372" s="49"/>
      <c r="S372" s="49">
        <v>64.78</v>
      </c>
      <c r="T372" s="49"/>
      <c r="U372" s="49">
        <v>0</v>
      </c>
      <c r="V372" s="49"/>
      <c r="W372" s="49">
        <v>0</v>
      </c>
      <c r="X372" s="49"/>
      <c r="Y372" s="49">
        <v>0</v>
      </c>
      <c r="Z372" s="49"/>
      <c r="AA372" s="49">
        <v>0</v>
      </c>
      <c r="AB372" s="49"/>
      <c r="AC372" s="49">
        <v>0</v>
      </c>
      <c r="AD372" s="49"/>
      <c r="AE372" s="49">
        <v>0</v>
      </c>
      <c r="AF372" s="49"/>
      <c r="AG372" s="49">
        <v>0</v>
      </c>
      <c r="AH372" s="49"/>
      <c r="AI372" s="49">
        <f t="shared" si="18"/>
        <v>134882.99</v>
      </c>
      <c r="AK372" s="6" t="str">
        <f>'Gen Rev'!A372</f>
        <v>Midland</v>
      </c>
      <c r="AL372" s="6" t="str">
        <f t="shared" si="16"/>
        <v>Midland</v>
      </c>
      <c r="AM372" s="6" t="b">
        <f t="shared" si="17"/>
        <v>1</v>
      </c>
    </row>
    <row r="373" spans="1:39" x14ac:dyDescent="0.2">
      <c r="A373" s="6" t="s">
        <v>218</v>
      </c>
      <c r="C373" s="6" t="s">
        <v>521</v>
      </c>
      <c r="E373" s="49">
        <v>46143.47</v>
      </c>
      <c r="F373" s="49"/>
      <c r="G373" s="49">
        <v>223495.26</v>
      </c>
      <c r="H373" s="49"/>
      <c r="I373" s="49">
        <v>90716.7</v>
      </c>
      <c r="J373" s="49"/>
      <c r="K373" s="49">
        <v>0</v>
      </c>
      <c r="L373" s="49"/>
      <c r="M373" s="49">
        <v>10519.42</v>
      </c>
      <c r="N373" s="49"/>
      <c r="O373" s="49">
        <v>14324</v>
      </c>
      <c r="P373" s="49"/>
      <c r="Q373" s="49">
        <v>42.19</v>
      </c>
      <c r="R373" s="49"/>
      <c r="S373" s="49">
        <v>12367.84</v>
      </c>
      <c r="T373" s="49"/>
      <c r="U373" s="49">
        <v>0</v>
      </c>
      <c r="V373" s="49"/>
      <c r="W373" s="49">
        <v>0</v>
      </c>
      <c r="X373" s="49"/>
      <c r="Y373" s="49">
        <v>0</v>
      </c>
      <c r="Z373" s="49"/>
      <c r="AA373" s="49">
        <v>0</v>
      </c>
      <c r="AB373" s="49"/>
      <c r="AC373" s="49">
        <v>0</v>
      </c>
      <c r="AD373" s="49"/>
      <c r="AE373" s="49">
        <v>0</v>
      </c>
      <c r="AF373" s="49"/>
      <c r="AG373" s="49">
        <v>1199.58</v>
      </c>
      <c r="AH373" s="49"/>
      <c r="AI373" s="49">
        <f t="shared" si="18"/>
        <v>398808.46</v>
      </c>
      <c r="AK373" s="6" t="str">
        <f>'Gen Rev'!A373</f>
        <v>Midvale</v>
      </c>
      <c r="AL373" s="6" t="str">
        <f t="shared" si="16"/>
        <v>Midvale</v>
      </c>
      <c r="AM373" s="6" t="b">
        <f t="shared" si="17"/>
        <v>1</v>
      </c>
    </row>
    <row r="374" spans="1:39" x14ac:dyDescent="0.2">
      <c r="A374" s="6" t="s">
        <v>426</v>
      </c>
      <c r="C374" s="6" t="s">
        <v>401</v>
      </c>
      <c r="E374" s="49">
        <v>36709</v>
      </c>
      <c r="F374" s="49"/>
      <c r="G374" s="49">
        <v>0</v>
      </c>
      <c r="H374" s="49"/>
      <c r="I374" s="49">
        <v>0</v>
      </c>
      <c r="J374" s="49"/>
      <c r="K374" s="49">
        <v>0</v>
      </c>
      <c r="L374" s="49"/>
      <c r="M374" s="49">
        <v>0</v>
      </c>
      <c r="N374" s="49"/>
      <c r="O374" s="49">
        <v>0</v>
      </c>
      <c r="P374" s="49"/>
      <c r="Q374" s="49">
        <v>0</v>
      </c>
      <c r="R374" s="49"/>
      <c r="S374" s="49">
        <v>0</v>
      </c>
      <c r="T374" s="49"/>
      <c r="U374" s="49">
        <v>0</v>
      </c>
      <c r="V374" s="49"/>
      <c r="W374" s="49">
        <v>0</v>
      </c>
      <c r="X374" s="49"/>
      <c r="Y374" s="49">
        <v>0</v>
      </c>
      <c r="Z374" s="49"/>
      <c r="AA374" s="49">
        <v>0</v>
      </c>
      <c r="AB374" s="49"/>
      <c r="AC374" s="49">
        <v>0</v>
      </c>
      <c r="AD374" s="49"/>
      <c r="AE374" s="49">
        <v>0</v>
      </c>
      <c r="AF374" s="49"/>
      <c r="AG374" s="49">
        <v>0</v>
      </c>
      <c r="AH374" s="49"/>
      <c r="AI374" s="49">
        <f t="shared" si="18"/>
        <v>36709</v>
      </c>
      <c r="AK374" s="6" t="str">
        <f>'Gen Rev'!A374</f>
        <v>Midway</v>
      </c>
      <c r="AL374" s="6" t="str">
        <f t="shared" si="16"/>
        <v>Midway</v>
      </c>
      <c r="AM374" s="6" t="b">
        <f t="shared" si="17"/>
        <v>1</v>
      </c>
    </row>
    <row r="375" spans="1:39" x14ac:dyDescent="0.2">
      <c r="A375" s="6" t="s">
        <v>8</v>
      </c>
      <c r="C375" s="6" t="s">
        <v>848</v>
      </c>
      <c r="E375" s="49">
        <v>14756.63</v>
      </c>
      <c r="F375" s="49"/>
      <c r="G375" s="49">
        <v>0</v>
      </c>
      <c r="H375" s="49"/>
      <c r="I375" s="49">
        <v>29095.040000000001</v>
      </c>
      <c r="J375" s="49"/>
      <c r="K375" s="49">
        <v>0</v>
      </c>
      <c r="L375" s="49"/>
      <c r="M375" s="49">
        <v>0</v>
      </c>
      <c r="N375" s="49"/>
      <c r="O375" s="49">
        <v>3412</v>
      </c>
      <c r="P375" s="49"/>
      <c r="Q375" s="49">
        <v>7.75</v>
      </c>
      <c r="R375" s="49"/>
      <c r="S375" s="49">
        <v>1108.8399999999999</v>
      </c>
      <c r="T375" s="49"/>
      <c r="U375" s="49">
        <v>0</v>
      </c>
      <c r="V375" s="49"/>
      <c r="W375" s="49">
        <v>0</v>
      </c>
      <c r="X375" s="49"/>
      <c r="Y375" s="49">
        <v>0</v>
      </c>
      <c r="Z375" s="49"/>
      <c r="AA375" s="49">
        <v>0</v>
      </c>
      <c r="AB375" s="49"/>
      <c r="AC375" s="49">
        <v>0</v>
      </c>
      <c r="AD375" s="49"/>
      <c r="AE375" s="49">
        <v>0</v>
      </c>
      <c r="AF375" s="49"/>
      <c r="AG375" s="49">
        <v>0</v>
      </c>
      <c r="AH375" s="49"/>
      <c r="AI375" s="49">
        <f t="shared" si="18"/>
        <v>48380.259999999995</v>
      </c>
      <c r="AK375" s="6" t="str">
        <f>'Gen Rev'!A375</f>
        <v>Mifflin</v>
      </c>
      <c r="AL375" s="6" t="str">
        <f t="shared" si="16"/>
        <v>Mifflin</v>
      </c>
      <c r="AM375" s="6" t="b">
        <f t="shared" si="17"/>
        <v>1</v>
      </c>
    </row>
    <row r="376" spans="1:39" x14ac:dyDescent="0.2">
      <c r="A376" s="6" t="s">
        <v>324</v>
      </c>
      <c r="C376" s="6" t="s">
        <v>325</v>
      </c>
      <c r="E376" s="49">
        <v>203920</v>
      </c>
      <c r="F376" s="49"/>
      <c r="G376" s="49">
        <v>485125</v>
      </c>
      <c r="H376" s="49"/>
      <c r="I376" s="49">
        <v>167494</v>
      </c>
      <c r="J376" s="49"/>
      <c r="K376" s="49">
        <v>3398</v>
      </c>
      <c r="L376" s="49"/>
      <c r="M376" s="49">
        <v>0</v>
      </c>
      <c r="N376" s="49"/>
      <c r="O376" s="49">
        <v>69139</v>
      </c>
      <c r="P376" s="49"/>
      <c r="Q376" s="49">
        <v>4149</v>
      </c>
      <c r="R376" s="49"/>
      <c r="S376" s="49">
        <v>34657</v>
      </c>
      <c r="T376" s="49"/>
      <c r="U376" s="49">
        <v>0</v>
      </c>
      <c r="V376" s="49"/>
      <c r="W376" s="49">
        <v>0</v>
      </c>
      <c r="X376" s="49"/>
      <c r="Y376" s="49">
        <v>0</v>
      </c>
      <c r="Z376" s="49"/>
      <c r="AA376" s="49">
        <v>15060</v>
      </c>
      <c r="AB376" s="49"/>
      <c r="AC376" s="49">
        <v>0</v>
      </c>
      <c r="AD376" s="49"/>
      <c r="AE376" s="49">
        <v>0</v>
      </c>
      <c r="AF376" s="49"/>
      <c r="AG376" s="49">
        <v>0</v>
      </c>
      <c r="AH376" s="49"/>
      <c r="AI376" s="49">
        <f t="shared" si="18"/>
        <v>982942</v>
      </c>
      <c r="AK376" s="6" t="str">
        <f>'Gen Rev'!A376</f>
        <v>Milan</v>
      </c>
      <c r="AL376" s="6" t="str">
        <f t="shared" si="16"/>
        <v>Milan</v>
      </c>
      <c r="AM376" s="6" t="b">
        <f t="shared" si="17"/>
        <v>1</v>
      </c>
    </row>
    <row r="377" spans="1:39" x14ac:dyDescent="0.2">
      <c r="A377" s="6" t="s">
        <v>222</v>
      </c>
      <c r="C377" s="6" t="s">
        <v>531</v>
      </c>
      <c r="E377" s="49">
        <v>18342.23</v>
      </c>
      <c r="F377" s="49"/>
      <c r="G377" s="49">
        <v>138245.54</v>
      </c>
      <c r="H377" s="49"/>
      <c r="I377" s="49">
        <v>30975.61</v>
      </c>
      <c r="J377" s="49"/>
      <c r="K377" s="49">
        <v>0</v>
      </c>
      <c r="L377" s="49"/>
      <c r="M377" s="49">
        <v>0</v>
      </c>
      <c r="N377" s="49"/>
      <c r="O377" s="49">
        <v>1600</v>
      </c>
      <c r="P377" s="49"/>
      <c r="Q377" s="49">
        <v>918.58</v>
      </c>
      <c r="R377" s="49"/>
      <c r="S377" s="49">
        <v>10857.86</v>
      </c>
      <c r="T377" s="49"/>
      <c r="U377" s="49">
        <v>0</v>
      </c>
      <c r="V377" s="49"/>
      <c r="W377" s="49">
        <v>0</v>
      </c>
      <c r="X377" s="49"/>
      <c r="Y377" s="49">
        <v>0</v>
      </c>
      <c r="Z377" s="49"/>
      <c r="AA377" s="49">
        <v>0</v>
      </c>
      <c r="AB377" s="49"/>
      <c r="AC377" s="49">
        <v>18000</v>
      </c>
      <c r="AD377" s="49"/>
      <c r="AE377" s="49">
        <v>0</v>
      </c>
      <c r="AF377" s="49"/>
      <c r="AG377" s="49">
        <v>0</v>
      </c>
      <c r="AH377" s="49"/>
      <c r="AI377" s="49">
        <f t="shared" si="18"/>
        <v>218939.82</v>
      </c>
      <c r="AK377" s="6" t="str">
        <f>'Gen Rev'!A377</f>
        <v>Milford Center</v>
      </c>
      <c r="AL377" s="6" t="str">
        <f t="shared" si="16"/>
        <v>Milford Center</v>
      </c>
      <c r="AM377" s="6" t="b">
        <f t="shared" si="17"/>
        <v>1</v>
      </c>
    </row>
    <row r="378" spans="1:39" x14ac:dyDescent="0.2">
      <c r="A378" s="6" t="s">
        <v>240</v>
      </c>
      <c r="C378" s="6" t="s">
        <v>558</v>
      </c>
      <c r="E378" s="49">
        <v>52753.120000000003</v>
      </c>
      <c r="F378" s="49"/>
      <c r="G378" s="49">
        <v>196121.74</v>
      </c>
      <c r="H378" s="49"/>
      <c r="I378" s="49">
        <v>130158.57</v>
      </c>
      <c r="J378" s="49"/>
      <c r="K378" s="49">
        <v>49966.720000000001</v>
      </c>
      <c r="L378" s="49"/>
      <c r="M378" s="49">
        <v>1167</v>
      </c>
      <c r="N378" s="49"/>
      <c r="O378" s="49">
        <v>15489.01</v>
      </c>
      <c r="P378" s="49"/>
      <c r="Q378" s="49">
        <v>454.9</v>
      </c>
      <c r="R378" s="49"/>
      <c r="S378" s="49">
        <v>1509.52</v>
      </c>
      <c r="T378" s="49"/>
      <c r="U378" s="49">
        <v>0</v>
      </c>
      <c r="V378" s="49"/>
      <c r="W378" s="49">
        <v>0</v>
      </c>
      <c r="X378" s="49"/>
      <c r="Y378" s="49">
        <v>0</v>
      </c>
      <c r="Z378" s="49"/>
      <c r="AA378" s="49">
        <v>118799.44</v>
      </c>
      <c r="AB378" s="49"/>
      <c r="AC378" s="49">
        <v>0</v>
      </c>
      <c r="AD378" s="49"/>
      <c r="AE378" s="49">
        <v>0</v>
      </c>
      <c r="AF378" s="49"/>
      <c r="AG378" s="49">
        <v>0</v>
      </c>
      <c r="AH378" s="49"/>
      <c r="AI378" s="49">
        <f t="shared" si="18"/>
        <v>566420.02</v>
      </c>
      <c r="AK378" s="6" t="str">
        <f>'Gen Rev'!A378</f>
        <v>Millbury</v>
      </c>
      <c r="AL378" s="6" t="str">
        <f t="shared" si="16"/>
        <v>Millbury</v>
      </c>
      <c r="AM378" s="6" t="b">
        <f t="shared" si="17"/>
        <v>1</v>
      </c>
    </row>
    <row r="379" spans="1:39" x14ac:dyDescent="0.2">
      <c r="A379" s="6" t="s">
        <v>65</v>
      </c>
      <c r="C379" s="6" t="s">
        <v>334</v>
      </c>
      <c r="E379" s="49">
        <v>9922.17</v>
      </c>
      <c r="F379" s="49"/>
      <c r="G379" s="49">
        <v>0</v>
      </c>
      <c r="H379" s="49"/>
      <c r="I379" s="49">
        <v>10810</v>
      </c>
      <c r="J379" s="49"/>
      <c r="K379" s="49">
        <v>0</v>
      </c>
      <c r="L379" s="49"/>
      <c r="M379" s="49">
        <v>0</v>
      </c>
      <c r="N379" s="49"/>
      <c r="O379" s="49">
        <v>0</v>
      </c>
      <c r="P379" s="49"/>
      <c r="Q379" s="49">
        <v>0</v>
      </c>
      <c r="R379" s="49"/>
      <c r="S379" s="49">
        <v>38.39</v>
      </c>
      <c r="T379" s="49"/>
      <c r="U379" s="49">
        <v>0</v>
      </c>
      <c r="V379" s="49"/>
      <c r="W379" s="49">
        <v>0</v>
      </c>
      <c r="X379" s="49"/>
      <c r="Y379" s="49">
        <v>0</v>
      </c>
      <c r="Z379" s="49"/>
      <c r="AA379" s="49">
        <v>0</v>
      </c>
      <c r="AB379" s="49"/>
      <c r="AC379" s="49">
        <v>0</v>
      </c>
      <c r="AD379" s="49"/>
      <c r="AE379" s="49">
        <v>380</v>
      </c>
      <c r="AF379" s="49"/>
      <c r="AG379" s="49">
        <v>0</v>
      </c>
      <c r="AH379" s="49"/>
      <c r="AI379" s="49">
        <f t="shared" si="18"/>
        <v>21150.559999999998</v>
      </c>
      <c r="AK379" s="6" t="str">
        <f>'Gen Rev'!A379</f>
        <v>Milledgeville</v>
      </c>
      <c r="AL379" s="6" t="str">
        <f t="shared" si="16"/>
        <v>Milledgeville</v>
      </c>
      <c r="AM379" s="6" t="b">
        <f t="shared" si="17"/>
        <v>1</v>
      </c>
    </row>
    <row r="380" spans="1:39" x14ac:dyDescent="0.2">
      <c r="A380" s="6" t="s">
        <v>191</v>
      </c>
      <c r="C380" s="6" t="s">
        <v>476</v>
      </c>
      <c r="E380" s="49">
        <v>5785.11</v>
      </c>
      <c r="F380" s="49"/>
      <c r="G380" s="49">
        <v>40519.06</v>
      </c>
      <c r="H380" s="49"/>
      <c r="I380" s="49">
        <v>49608.31</v>
      </c>
      <c r="J380" s="49"/>
      <c r="K380" s="49">
        <v>0</v>
      </c>
      <c r="L380" s="49"/>
      <c r="M380" s="49">
        <v>0</v>
      </c>
      <c r="N380" s="49"/>
      <c r="O380" s="49">
        <v>678.07</v>
      </c>
      <c r="P380" s="49"/>
      <c r="Q380" s="49">
        <v>200.59</v>
      </c>
      <c r="R380" s="49"/>
      <c r="S380" s="49">
        <v>1313.9</v>
      </c>
      <c r="T380" s="49"/>
      <c r="U380" s="49">
        <v>0</v>
      </c>
      <c r="V380" s="49"/>
      <c r="W380" s="49">
        <v>0</v>
      </c>
      <c r="X380" s="49"/>
      <c r="Y380" s="49">
        <v>0</v>
      </c>
      <c r="Z380" s="49"/>
      <c r="AA380" s="49">
        <v>10000</v>
      </c>
      <c r="AB380" s="49"/>
      <c r="AC380" s="49">
        <v>0</v>
      </c>
      <c r="AD380" s="49"/>
      <c r="AE380" s="49">
        <v>0</v>
      </c>
      <c r="AF380" s="49"/>
      <c r="AG380" s="49">
        <v>0</v>
      </c>
      <c r="AH380" s="49"/>
      <c r="AI380" s="49">
        <f t="shared" si="18"/>
        <v>108105.04</v>
      </c>
      <c r="AK380" s="6" t="str">
        <f>'Gen Rev'!A380</f>
        <v>Miller City</v>
      </c>
      <c r="AL380" s="6" t="str">
        <f t="shared" si="16"/>
        <v>Miller City</v>
      </c>
      <c r="AM380" s="6" t="b">
        <f t="shared" si="17"/>
        <v>1</v>
      </c>
    </row>
    <row r="381" spans="1:39" x14ac:dyDescent="0.2">
      <c r="A381" s="6" t="s">
        <v>384</v>
      </c>
      <c r="C381" s="6" t="s">
        <v>382</v>
      </c>
      <c r="E381" s="49">
        <v>274194.45</v>
      </c>
      <c r="F381" s="49"/>
      <c r="G381" s="49">
        <v>1522617.93</v>
      </c>
      <c r="H381" s="49"/>
      <c r="I381" s="49">
        <v>658796.04</v>
      </c>
      <c r="J381" s="49"/>
      <c r="K381" s="49">
        <v>0</v>
      </c>
      <c r="L381" s="49"/>
      <c r="M381" s="49">
        <v>25965.58</v>
      </c>
      <c r="N381" s="49"/>
      <c r="O381" s="49">
        <v>58129.62</v>
      </c>
      <c r="P381" s="49"/>
      <c r="Q381" s="49">
        <v>4224.68</v>
      </c>
      <c r="R381" s="49"/>
      <c r="S381" s="49">
        <v>42137.82</v>
      </c>
      <c r="T381" s="49"/>
      <c r="U381" s="49">
        <v>0</v>
      </c>
      <c r="V381" s="49"/>
      <c r="W381" s="49">
        <v>0</v>
      </c>
      <c r="X381" s="49"/>
      <c r="Y381" s="49">
        <v>0</v>
      </c>
      <c r="Z381" s="49"/>
      <c r="AA381" s="49">
        <v>90000</v>
      </c>
      <c r="AB381" s="49"/>
      <c r="AC381" s="49">
        <v>0</v>
      </c>
      <c r="AD381" s="49"/>
      <c r="AE381" s="49">
        <v>0</v>
      </c>
      <c r="AF381" s="49"/>
      <c r="AG381" s="49">
        <v>0</v>
      </c>
      <c r="AH381" s="49"/>
      <c r="AI381" s="49">
        <f t="shared" si="18"/>
        <v>2676066.12</v>
      </c>
      <c r="AK381" s="6" t="str">
        <f>'Gen Rev'!A381</f>
        <v>Millersburg</v>
      </c>
      <c r="AL381" s="6" t="str">
        <f t="shared" si="16"/>
        <v>Millersburg</v>
      </c>
      <c r="AM381" s="6" t="b">
        <f t="shared" si="17"/>
        <v>1</v>
      </c>
    </row>
    <row r="382" spans="1:39" x14ac:dyDescent="0.2">
      <c r="A382" s="6" t="s">
        <v>58</v>
      </c>
      <c r="C382" s="6" t="s">
        <v>327</v>
      </c>
      <c r="E382" s="49">
        <v>229706.42</v>
      </c>
      <c r="F382" s="49"/>
      <c r="G382" s="49">
        <v>0</v>
      </c>
      <c r="H382" s="49"/>
      <c r="I382" s="49">
        <v>121938.31</v>
      </c>
      <c r="J382" s="49"/>
      <c r="K382" s="49">
        <v>0</v>
      </c>
      <c r="L382" s="49"/>
      <c r="M382" s="49">
        <v>800782.66</v>
      </c>
      <c r="N382" s="49"/>
      <c r="O382" s="49">
        <v>33181.57</v>
      </c>
      <c r="P382" s="49"/>
      <c r="Q382" s="49">
        <v>2371.9</v>
      </c>
      <c r="R382" s="49"/>
      <c r="S382" s="49">
        <v>16870</v>
      </c>
      <c r="T382" s="49"/>
      <c r="U382" s="49">
        <v>0</v>
      </c>
      <c r="V382" s="49"/>
      <c r="W382" s="49">
        <v>0</v>
      </c>
      <c r="X382" s="49"/>
      <c r="Y382" s="49">
        <v>7501</v>
      </c>
      <c r="Z382" s="49"/>
      <c r="AA382" s="49">
        <v>0</v>
      </c>
      <c r="AB382" s="49"/>
      <c r="AC382" s="49">
        <v>0</v>
      </c>
      <c r="AD382" s="49"/>
      <c r="AE382" s="49">
        <v>81374</v>
      </c>
      <c r="AF382" s="49"/>
      <c r="AG382" s="49">
        <v>0</v>
      </c>
      <c r="AH382" s="49"/>
      <c r="AI382" s="49">
        <f t="shared" si="18"/>
        <v>1293725.8600000001</v>
      </c>
      <c r="AK382" s="6" t="str">
        <f>'Gen Rev'!A382</f>
        <v>Millersport</v>
      </c>
      <c r="AL382" s="6" t="str">
        <f t="shared" si="16"/>
        <v>Millersport</v>
      </c>
      <c r="AM382" s="6" t="b">
        <f t="shared" si="17"/>
        <v>1</v>
      </c>
    </row>
    <row r="383" spans="1:39" x14ac:dyDescent="0.2">
      <c r="A383" s="6" t="s">
        <v>443</v>
      </c>
      <c r="C383" s="6" t="s">
        <v>441</v>
      </c>
      <c r="E383" s="49">
        <v>1817</v>
      </c>
      <c r="F383" s="49"/>
      <c r="G383" s="49">
        <v>0</v>
      </c>
      <c r="H383" s="49"/>
      <c r="I383" s="49">
        <v>5532</v>
      </c>
      <c r="J383" s="49"/>
      <c r="K383" s="49">
        <v>0</v>
      </c>
      <c r="L383" s="49"/>
      <c r="M383" s="49">
        <v>0</v>
      </c>
      <c r="N383" s="49"/>
      <c r="O383" s="49">
        <v>0</v>
      </c>
      <c r="P383" s="49"/>
      <c r="Q383" s="49">
        <v>17</v>
      </c>
      <c r="R383" s="49"/>
      <c r="S383" s="49">
        <v>0</v>
      </c>
      <c r="T383" s="49"/>
      <c r="U383" s="49">
        <v>0</v>
      </c>
      <c r="V383" s="49"/>
      <c r="W383" s="49">
        <v>0</v>
      </c>
      <c r="X383" s="49"/>
      <c r="Y383" s="49">
        <v>0</v>
      </c>
      <c r="Z383" s="49"/>
      <c r="AA383" s="49">
        <v>0</v>
      </c>
      <c r="AB383" s="49"/>
      <c r="AC383" s="49">
        <v>0</v>
      </c>
      <c r="AD383" s="49"/>
      <c r="AE383" s="49">
        <v>0</v>
      </c>
      <c r="AF383" s="49"/>
      <c r="AG383" s="49">
        <v>0</v>
      </c>
      <c r="AH383" s="49"/>
      <c r="AI383" s="49">
        <f t="shared" si="18"/>
        <v>7366</v>
      </c>
      <c r="AK383" s="6" t="str">
        <f>'Gen Rev'!A383</f>
        <v>Miltonsburg</v>
      </c>
      <c r="AL383" s="6" t="str">
        <f t="shared" si="16"/>
        <v>Miltonsburg</v>
      </c>
      <c r="AM383" s="6" t="b">
        <f t="shared" si="17"/>
        <v>1</v>
      </c>
    </row>
    <row r="384" spans="1:39" x14ac:dyDescent="0.2">
      <c r="A384" s="6" t="s">
        <v>219</v>
      </c>
      <c r="C384" s="6" t="s">
        <v>521</v>
      </c>
      <c r="E384" s="49">
        <v>60242.03</v>
      </c>
      <c r="F384" s="49"/>
      <c r="G384" s="49">
        <v>56769.94</v>
      </c>
      <c r="H384" s="49"/>
      <c r="I384" s="49">
        <v>50701.36</v>
      </c>
      <c r="J384" s="49"/>
      <c r="K384" s="49">
        <v>0</v>
      </c>
      <c r="L384" s="49"/>
      <c r="M384" s="49">
        <v>25000</v>
      </c>
      <c r="N384" s="49"/>
      <c r="O384" s="49">
        <v>6329.62</v>
      </c>
      <c r="P384" s="49"/>
      <c r="Q384" s="49">
        <v>36</v>
      </c>
      <c r="R384" s="49"/>
      <c r="S384" s="49">
        <v>13688.07</v>
      </c>
      <c r="T384" s="49"/>
      <c r="U384" s="49">
        <v>0</v>
      </c>
      <c r="V384" s="49"/>
      <c r="W384" s="49">
        <v>0</v>
      </c>
      <c r="X384" s="49"/>
      <c r="Y384" s="49">
        <v>0</v>
      </c>
      <c r="Z384" s="49"/>
      <c r="AA384" s="49">
        <v>0</v>
      </c>
      <c r="AB384" s="49"/>
      <c r="AC384" s="49">
        <v>0</v>
      </c>
      <c r="AD384" s="49"/>
      <c r="AE384" s="49">
        <v>0</v>
      </c>
      <c r="AF384" s="49"/>
      <c r="AG384" s="49">
        <v>1339023.42</v>
      </c>
      <c r="AH384" s="49"/>
      <c r="AI384" s="49">
        <f t="shared" si="18"/>
        <v>1551790.44</v>
      </c>
      <c r="AK384" s="6" t="str">
        <f>'Gen Rev'!A384</f>
        <v>Mineral City</v>
      </c>
      <c r="AL384" s="6" t="str">
        <f t="shared" si="16"/>
        <v>Mineral City</v>
      </c>
      <c r="AM384" s="6" t="b">
        <f t="shared" si="17"/>
        <v>1</v>
      </c>
    </row>
    <row r="385" spans="1:39" x14ac:dyDescent="0.2">
      <c r="A385" s="6" t="s">
        <v>507</v>
      </c>
      <c r="C385" s="6" t="s">
        <v>502</v>
      </c>
      <c r="E385" s="49">
        <v>2524491</v>
      </c>
      <c r="F385" s="49"/>
      <c r="G385" s="49">
        <v>0</v>
      </c>
      <c r="H385" s="49"/>
      <c r="I385" s="49">
        <f>416820+121190</f>
        <v>538010</v>
      </c>
      <c r="J385" s="49"/>
      <c r="K385" s="49">
        <v>0</v>
      </c>
      <c r="L385" s="49"/>
      <c r="M385" s="49">
        <v>23640</v>
      </c>
      <c r="N385" s="49"/>
      <c r="O385" s="49">
        <v>67234</v>
      </c>
      <c r="P385" s="49"/>
      <c r="Q385" s="49">
        <v>11868</v>
      </c>
      <c r="R385" s="49"/>
      <c r="S385" s="49">
        <v>59857</v>
      </c>
      <c r="T385" s="49"/>
      <c r="U385" s="49">
        <v>0</v>
      </c>
      <c r="V385" s="49"/>
      <c r="W385" s="49">
        <v>0</v>
      </c>
      <c r="X385" s="49"/>
      <c r="Y385" s="49">
        <v>0</v>
      </c>
      <c r="Z385" s="49"/>
      <c r="AA385" s="49">
        <v>0</v>
      </c>
      <c r="AB385" s="49"/>
      <c r="AC385" s="49">
        <v>0</v>
      </c>
      <c r="AD385" s="49"/>
      <c r="AE385" s="49">
        <v>2426000</v>
      </c>
      <c r="AF385" s="49"/>
      <c r="AG385" s="49">
        <v>0</v>
      </c>
      <c r="AH385" s="49"/>
      <c r="AI385" s="49">
        <f t="shared" si="18"/>
        <v>5651100</v>
      </c>
      <c r="AK385" s="6" t="str">
        <f>'Gen Rev'!A385</f>
        <v xml:space="preserve">Minerva  </v>
      </c>
      <c r="AL385" s="6" t="str">
        <f t="shared" si="16"/>
        <v xml:space="preserve">Minerva  </v>
      </c>
      <c r="AM385" s="6" t="b">
        <f t="shared" si="17"/>
        <v>1</v>
      </c>
    </row>
    <row r="386" spans="1:39" x14ac:dyDescent="0.2">
      <c r="A386" s="6" t="s">
        <v>69</v>
      </c>
      <c r="C386" s="6" t="s">
        <v>329</v>
      </c>
      <c r="E386" s="49">
        <v>490928.56</v>
      </c>
      <c r="F386" s="49"/>
      <c r="G386" s="49">
        <v>318091.77</v>
      </c>
      <c r="H386" s="49"/>
      <c r="I386" s="49">
        <v>205686.08</v>
      </c>
      <c r="J386" s="49"/>
      <c r="K386" s="49">
        <v>4030.32</v>
      </c>
      <c r="L386" s="49"/>
      <c r="M386" s="49">
        <v>150089.94</v>
      </c>
      <c r="N386" s="49"/>
      <c r="O386" s="49">
        <v>74656.41</v>
      </c>
      <c r="P386" s="49"/>
      <c r="Q386" s="49">
        <v>113.32</v>
      </c>
      <c r="R386" s="49"/>
      <c r="S386" s="49">
        <v>23540.75</v>
      </c>
      <c r="T386" s="49"/>
      <c r="U386" s="49">
        <v>0</v>
      </c>
      <c r="V386" s="49"/>
      <c r="W386" s="49">
        <v>0</v>
      </c>
      <c r="X386" s="49"/>
      <c r="Y386" s="49">
        <v>0</v>
      </c>
      <c r="Z386" s="49"/>
      <c r="AA386" s="49">
        <v>0</v>
      </c>
      <c r="AB386" s="49"/>
      <c r="AC386" s="49">
        <v>0</v>
      </c>
      <c r="AD386" s="49"/>
      <c r="AE386" s="49">
        <v>0</v>
      </c>
      <c r="AF386" s="49"/>
      <c r="AG386" s="49">
        <v>0</v>
      </c>
      <c r="AH386" s="49"/>
      <c r="AI386" s="49">
        <f t="shared" si="18"/>
        <v>1267137.1499999999</v>
      </c>
      <c r="AK386" s="6" t="str">
        <f>'Gen Rev'!A386</f>
        <v>Minerva Park</v>
      </c>
      <c r="AL386" s="6" t="str">
        <f t="shared" si="16"/>
        <v>Minerva Park</v>
      </c>
      <c r="AM386" s="6" t="b">
        <f t="shared" si="17"/>
        <v>1</v>
      </c>
    </row>
    <row r="387" spans="1:39" x14ac:dyDescent="0.2">
      <c r="A387" s="6" t="s">
        <v>392</v>
      </c>
      <c r="C387" s="6" t="s">
        <v>390</v>
      </c>
      <c r="E387" s="49">
        <v>253490</v>
      </c>
      <c r="F387" s="49"/>
      <c r="G387" s="49">
        <v>686264</v>
      </c>
      <c r="H387" s="49"/>
      <c r="I387" s="49">
        <v>467656</v>
      </c>
      <c r="J387" s="49"/>
      <c r="K387" s="49">
        <v>0</v>
      </c>
      <c r="L387" s="49"/>
      <c r="M387" s="49">
        <v>194906</v>
      </c>
      <c r="N387" s="49"/>
      <c r="O387" s="49">
        <v>92932</v>
      </c>
      <c r="P387" s="49"/>
      <c r="Q387" s="49">
        <v>17</v>
      </c>
      <c r="R387" s="49"/>
      <c r="S387" s="49">
        <v>9162</v>
      </c>
      <c r="T387" s="49"/>
      <c r="U387" s="49">
        <v>0</v>
      </c>
      <c r="V387" s="49"/>
      <c r="W387" s="49">
        <v>0</v>
      </c>
      <c r="X387" s="49"/>
      <c r="Y387" s="49">
        <v>0</v>
      </c>
      <c r="Z387" s="49"/>
      <c r="AA387" s="49">
        <v>410664</v>
      </c>
      <c r="AB387" s="49"/>
      <c r="AC387" s="49">
        <v>0</v>
      </c>
      <c r="AD387" s="49"/>
      <c r="AE387" s="49">
        <v>87147</v>
      </c>
      <c r="AF387" s="49"/>
      <c r="AG387" s="49">
        <v>0</v>
      </c>
      <c r="AH387" s="49"/>
      <c r="AI387" s="49">
        <f t="shared" si="18"/>
        <v>2202238</v>
      </c>
      <c r="AK387" s="6" t="str">
        <f>'Gen Rev'!A387</f>
        <v>Mingo Junction</v>
      </c>
      <c r="AL387" s="6" t="str">
        <f t="shared" si="16"/>
        <v>Mingo Junction</v>
      </c>
      <c r="AM387" s="6" t="b">
        <f t="shared" si="17"/>
        <v>1</v>
      </c>
    </row>
    <row r="388" spans="1:39" x14ac:dyDescent="0.2">
      <c r="A388" s="6" t="s">
        <v>258</v>
      </c>
      <c r="C388" s="6" t="s">
        <v>257</v>
      </c>
      <c r="E388" s="49">
        <v>588746</v>
      </c>
      <c r="F388" s="49"/>
      <c r="G388" s="49">
        <v>3457188</v>
      </c>
      <c r="H388" s="49"/>
      <c r="I388" s="49">
        <v>488764</v>
      </c>
      <c r="J388" s="49"/>
      <c r="K388" s="49">
        <v>38350</v>
      </c>
      <c r="L388" s="49"/>
      <c r="M388" s="49">
        <v>111265</v>
      </c>
      <c r="N388" s="49"/>
      <c r="O388" s="49">
        <v>9032</v>
      </c>
      <c r="P388" s="49"/>
      <c r="Q388" s="49">
        <v>15173</v>
      </c>
      <c r="R388" s="49"/>
      <c r="S388" s="49">
        <v>72774</v>
      </c>
      <c r="T388" s="49"/>
      <c r="U388" s="49">
        <v>0</v>
      </c>
      <c r="V388" s="49"/>
      <c r="W388" s="49">
        <v>0</v>
      </c>
      <c r="X388" s="49"/>
      <c r="Y388" s="49">
        <v>0</v>
      </c>
      <c r="Z388" s="49"/>
      <c r="AA388" s="49">
        <v>2290108</v>
      </c>
      <c r="AB388" s="49"/>
      <c r="AC388" s="49">
        <v>0</v>
      </c>
      <c r="AD388" s="49"/>
      <c r="AE388" s="49">
        <v>0</v>
      </c>
      <c r="AF388" s="49"/>
      <c r="AG388" s="49">
        <v>0</v>
      </c>
      <c r="AH388" s="49"/>
      <c r="AI388" s="49">
        <f t="shared" si="18"/>
        <v>7071400</v>
      </c>
      <c r="AK388" s="6" t="str">
        <f>'Gen Rev'!A388</f>
        <v>Minster</v>
      </c>
      <c r="AL388" s="6" t="str">
        <f t="shared" si="16"/>
        <v>Minster</v>
      </c>
      <c r="AM388" s="6" t="b">
        <f t="shared" si="17"/>
        <v>1</v>
      </c>
    </row>
    <row r="389" spans="1:39" x14ac:dyDescent="0.2">
      <c r="A389" s="6" t="s">
        <v>512</v>
      </c>
      <c r="C389" s="6" t="s">
        <v>511</v>
      </c>
      <c r="E389" s="49">
        <v>148397</v>
      </c>
      <c r="F389" s="49"/>
      <c r="G389" s="49">
        <v>2694504</v>
      </c>
      <c r="H389" s="49"/>
      <c r="I389" s="49">
        <v>739783</v>
      </c>
      <c r="J389" s="49"/>
      <c r="K389" s="49">
        <v>0</v>
      </c>
      <c r="L389" s="49"/>
      <c r="M389" s="49">
        <v>115239</v>
      </c>
      <c r="N389" s="49"/>
      <c r="O389" s="49">
        <v>66859</v>
      </c>
      <c r="P389" s="49"/>
      <c r="Q389" s="49">
        <v>1387</v>
      </c>
      <c r="R389" s="49"/>
      <c r="S389" s="49">
        <v>117382</v>
      </c>
      <c r="T389" s="49"/>
      <c r="U389" s="49">
        <v>0</v>
      </c>
      <c r="V389" s="49"/>
      <c r="W389" s="49">
        <v>1323500</v>
      </c>
      <c r="X389" s="49"/>
      <c r="Y389" s="49">
        <v>0</v>
      </c>
      <c r="Z389" s="49"/>
      <c r="AA389" s="49">
        <v>618000</v>
      </c>
      <c r="AB389" s="49"/>
      <c r="AC389" s="49">
        <v>0</v>
      </c>
      <c r="AD389" s="49"/>
      <c r="AE389" s="49">
        <v>0</v>
      </c>
      <c r="AF389" s="49"/>
      <c r="AG389" s="49">
        <v>0</v>
      </c>
      <c r="AH389" s="49"/>
      <c r="AI389" s="49">
        <f t="shared" si="18"/>
        <v>5825051</v>
      </c>
      <c r="AK389" s="6" t="str">
        <f>'Gen Rev'!A389</f>
        <v>Mogadore</v>
      </c>
      <c r="AL389" s="6" t="str">
        <f t="shared" si="16"/>
        <v>Mogadore</v>
      </c>
      <c r="AM389" s="6" t="b">
        <f t="shared" si="17"/>
        <v>1</v>
      </c>
    </row>
    <row r="390" spans="1:39" x14ac:dyDescent="0.2">
      <c r="A390" s="6" t="s">
        <v>385</v>
      </c>
      <c r="C390" s="6" t="s">
        <v>386</v>
      </c>
      <c r="E390" s="49">
        <v>49824</v>
      </c>
      <c r="F390" s="49"/>
      <c r="G390" s="49">
        <v>494122</v>
      </c>
      <c r="H390" s="49"/>
      <c r="I390" s="49">
        <f>260365+100335</f>
        <v>360700</v>
      </c>
      <c r="J390" s="49"/>
      <c r="K390" s="49">
        <v>1051</v>
      </c>
      <c r="L390" s="49"/>
      <c r="M390" s="49">
        <v>11577</v>
      </c>
      <c r="N390" s="49"/>
      <c r="O390" s="49">
        <v>27687</v>
      </c>
      <c r="P390" s="49"/>
      <c r="Q390" s="49">
        <v>3421</v>
      </c>
      <c r="R390" s="49"/>
      <c r="S390" s="49">
        <f>24543+40508</f>
        <v>65051</v>
      </c>
      <c r="T390" s="49"/>
      <c r="U390" s="49">
        <v>0</v>
      </c>
      <c r="V390" s="49"/>
      <c r="W390" s="49">
        <v>165452</v>
      </c>
      <c r="X390" s="49"/>
      <c r="Y390" s="49">
        <v>0</v>
      </c>
      <c r="Z390" s="49"/>
      <c r="AA390" s="49">
        <v>212211</v>
      </c>
      <c r="AB390" s="49"/>
      <c r="AC390" s="49">
        <v>4355578</v>
      </c>
      <c r="AD390" s="49"/>
      <c r="AE390" s="49">
        <v>584</v>
      </c>
      <c r="AF390" s="49"/>
      <c r="AG390" s="49">
        <v>0</v>
      </c>
      <c r="AH390" s="49"/>
      <c r="AI390" s="49">
        <f t="shared" si="18"/>
        <v>5747258</v>
      </c>
      <c r="AK390" s="6" t="str">
        <f>'Gen Rev'!A390</f>
        <v>Monroeville</v>
      </c>
      <c r="AL390" s="6" t="str">
        <f t="shared" si="16"/>
        <v>Monroeville</v>
      </c>
      <c r="AM390" s="6" t="b">
        <f t="shared" si="17"/>
        <v>1</v>
      </c>
    </row>
    <row r="391" spans="1:39" x14ac:dyDescent="0.2">
      <c r="A391" s="6" t="s">
        <v>148</v>
      </c>
      <c r="C391" s="6" t="s">
        <v>433</v>
      </c>
      <c r="E391" s="49">
        <v>5689.52</v>
      </c>
      <c r="F391" s="49"/>
      <c r="G391" s="49">
        <v>0</v>
      </c>
      <c r="H391" s="49"/>
      <c r="I391" s="49">
        <v>18450.009999999998</v>
      </c>
      <c r="J391" s="49"/>
      <c r="K391" s="49">
        <v>6382.82</v>
      </c>
      <c r="L391" s="49"/>
      <c r="M391" s="49">
        <v>0</v>
      </c>
      <c r="N391" s="49"/>
      <c r="O391" s="49">
        <v>2098.5300000000002</v>
      </c>
      <c r="P391" s="49"/>
      <c r="Q391" s="49">
        <v>30.55</v>
      </c>
      <c r="R391" s="49"/>
      <c r="S391" s="49">
        <v>298.89999999999998</v>
      </c>
      <c r="T391" s="49"/>
      <c r="U391" s="49">
        <v>0</v>
      </c>
      <c r="V391" s="49"/>
      <c r="W391" s="49">
        <v>0</v>
      </c>
      <c r="X391" s="49"/>
      <c r="Y391" s="49">
        <v>0</v>
      </c>
      <c r="Z391" s="49"/>
      <c r="AA391" s="49">
        <v>0</v>
      </c>
      <c r="AB391" s="49"/>
      <c r="AC391" s="49">
        <v>0</v>
      </c>
      <c r="AD391" s="49"/>
      <c r="AE391" s="49">
        <v>0</v>
      </c>
      <c r="AF391" s="49"/>
      <c r="AG391" s="49">
        <v>0</v>
      </c>
      <c r="AH391" s="49"/>
      <c r="AI391" s="49">
        <f t="shared" si="18"/>
        <v>32950.329999999994</v>
      </c>
      <c r="AK391" s="6" t="str">
        <f>'Gen Rev'!A391</f>
        <v>Montezuma</v>
      </c>
      <c r="AL391" s="6" t="str">
        <f t="shared" si="16"/>
        <v>Montezuma</v>
      </c>
      <c r="AM391" s="6" t="b">
        <f t="shared" si="17"/>
        <v>1</v>
      </c>
    </row>
    <row r="392" spans="1:39" x14ac:dyDescent="0.2">
      <c r="A392" s="6" t="s">
        <v>555</v>
      </c>
      <c r="C392" s="6" t="s">
        <v>554</v>
      </c>
      <c r="E392" s="49">
        <v>445198</v>
      </c>
      <c r="F392" s="49"/>
      <c r="G392" s="49">
        <v>1676489</v>
      </c>
      <c r="H392" s="49"/>
      <c r="I392" s="49">
        <v>458136</v>
      </c>
      <c r="J392" s="49"/>
      <c r="K392" s="49">
        <v>27995</v>
      </c>
      <c r="L392" s="49"/>
      <c r="M392" s="49">
        <v>479484</v>
      </c>
      <c r="N392" s="49"/>
      <c r="O392" s="49">
        <v>36521</v>
      </c>
      <c r="P392" s="49"/>
      <c r="Q392" s="49">
        <v>65736</v>
      </c>
      <c r="R392" s="49"/>
      <c r="S392" s="49">
        <v>51596</v>
      </c>
      <c r="T392" s="49"/>
      <c r="U392" s="49">
        <v>0</v>
      </c>
      <c r="V392" s="49"/>
      <c r="W392" s="49">
        <v>450000</v>
      </c>
      <c r="X392" s="49"/>
      <c r="Y392" s="49">
        <v>0</v>
      </c>
      <c r="Z392" s="49"/>
      <c r="AA392" s="49">
        <v>44269</v>
      </c>
      <c r="AB392" s="49"/>
      <c r="AC392" s="49">
        <v>0</v>
      </c>
      <c r="AD392" s="49"/>
      <c r="AE392" s="49">
        <v>0</v>
      </c>
      <c r="AF392" s="49"/>
      <c r="AG392" s="49">
        <v>0</v>
      </c>
      <c r="AH392" s="49"/>
      <c r="AI392" s="49">
        <f t="shared" si="18"/>
        <v>3735424</v>
      </c>
      <c r="AK392" s="6" t="str">
        <f>'Gen Rev'!A392</f>
        <v>Montpelier</v>
      </c>
      <c r="AL392" s="6" t="str">
        <f t="shared" si="16"/>
        <v>Montpelier</v>
      </c>
      <c r="AM392" s="6" t="b">
        <f t="shared" si="17"/>
        <v>1</v>
      </c>
    </row>
    <row r="393" spans="1:39" x14ac:dyDescent="0.2">
      <c r="A393" s="6" t="s">
        <v>300</v>
      </c>
      <c r="C393" s="6" t="s">
        <v>293</v>
      </c>
      <c r="E393" s="49">
        <v>1619420</v>
      </c>
      <c r="F393" s="49"/>
      <c r="G393" s="49">
        <v>3263604</v>
      </c>
      <c r="H393" s="49"/>
      <c r="I393" s="49">
        <v>1118796</v>
      </c>
      <c r="J393" s="49"/>
      <c r="K393" s="49">
        <v>428053</v>
      </c>
      <c r="L393" s="49"/>
      <c r="M393" s="49">
        <v>23202</v>
      </c>
      <c r="N393" s="49"/>
      <c r="O393" s="49">
        <v>203720</v>
      </c>
      <c r="P393" s="49"/>
      <c r="Q393" s="49">
        <v>25612</v>
      </c>
      <c r="R393" s="49"/>
      <c r="S393" s="49">
        <v>195062</v>
      </c>
      <c r="T393" s="49"/>
      <c r="U393" s="49">
        <v>0</v>
      </c>
      <c r="V393" s="49"/>
      <c r="W393" s="49">
        <v>0</v>
      </c>
      <c r="X393" s="49"/>
      <c r="Y393" s="49">
        <v>362502</v>
      </c>
      <c r="Z393" s="49"/>
      <c r="AA393" s="49">
        <v>2757500</v>
      </c>
      <c r="AB393" s="49"/>
      <c r="AC393" s="49">
        <v>219902</v>
      </c>
      <c r="AD393" s="49"/>
      <c r="AE393" s="49">
        <v>0</v>
      </c>
      <c r="AF393" s="49"/>
      <c r="AG393" s="49">
        <v>0</v>
      </c>
      <c r="AH393" s="49"/>
      <c r="AI393" s="49">
        <f t="shared" si="18"/>
        <v>10217373</v>
      </c>
      <c r="AK393" s="6" t="str">
        <f>'Gen Rev'!A393</f>
        <v>Moreland Hills</v>
      </c>
      <c r="AL393" s="6" t="str">
        <f t="shared" si="16"/>
        <v>Moreland Hills</v>
      </c>
      <c r="AM393" s="6" t="b">
        <f t="shared" si="17"/>
        <v>1</v>
      </c>
    </row>
    <row r="394" spans="1:39" x14ac:dyDescent="0.2">
      <c r="A394" s="6" t="s">
        <v>806</v>
      </c>
      <c r="C394" s="6" t="s">
        <v>430</v>
      </c>
      <c r="E394" s="49">
        <v>18154.16</v>
      </c>
      <c r="F394" s="49"/>
      <c r="G394" s="49">
        <v>2438.66</v>
      </c>
      <c r="H394" s="49"/>
      <c r="I394" s="49">
        <v>39770.199999999997</v>
      </c>
      <c r="J394" s="49"/>
      <c r="K394" s="49">
        <v>0</v>
      </c>
      <c r="L394" s="49"/>
      <c r="M394" s="49">
        <v>0</v>
      </c>
      <c r="N394" s="49"/>
      <c r="O394" s="49">
        <v>0</v>
      </c>
      <c r="P394" s="49"/>
      <c r="Q394" s="49">
        <v>17.260000000000002</v>
      </c>
      <c r="R394" s="49"/>
      <c r="S394" s="49">
        <v>492.49</v>
      </c>
      <c r="T394" s="49"/>
      <c r="U394" s="49">
        <v>0</v>
      </c>
      <c r="V394" s="49"/>
      <c r="W394" s="49">
        <v>0</v>
      </c>
      <c r="X394" s="49"/>
      <c r="Y394" s="49">
        <v>0</v>
      </c>
      <c r="Z394" s="49"/>
      <c r="AA394" s="49">
        <v>0</v>
      </c>
      <c r="AB394" s="49"/>
      <c r="AC394" s="49">
        <v>0</v>
      </c>
      <c r="AD394" s="49"/>
      <c r="AE394" s="49">
        <v>0</v>
      </c>
      <c r="AF394" s="49"/>
      <c r="AG394" s="49">
        <v>474.04</v>
      </c>
      <c r="AH394" s="49"/>
      <c r="AI394" s="49">
        <f t="shared" si="18"/>
        <v>61346.81</v>
      </c>
      <c r="AK394" s="6" t="str">
        <f>'Gen Rev'!A394</f>
        <v>Morral</v>
      </c>
      <c r="AL394" s="6" t="str">
        <f t="shared" si="16"/>
        <v>Morral</v>
      </c>
      <c r="AM394" s="6" t="b">
        <f t="shared" si="17"/>
        <v>1</v>
      </c>
    </row>
    <row r="395" spans="1:39" x14ac:dyDescent="0.2">
      <c r="A395" s="6" t="s">
        <v>18</v>
      </c>
      <c r="C395" s="6" t="s">
        <v>261</v>
      </c>
      <c r="E395" s="49">
        <v>13704.39</v>
      </c>
      <c r="F395" s="49"/>
      <c r="G395" s="49">
        <v>0</v>
      </c>
      <c r="H395" s="49"/>
      <c r="I395" s="49">
        <v>39872.21</v>
      </c>
      <c r="J395" s="49"/>
      <c r="K395" s="49">
        <v>0</v>
      </c>
      <c r="L395" s="49"/>
      <c r="M395" s="49">
        <v>56020</v>
      </c>
      <c r="N395" s="49"/>
      <c r="O395" s="49">
        <v>0</v>
      </c>
      <c r="P395" s="49"/>
      <c r="Q395" s="49">
        <v>128.75</v>
      </c>
      <c r="R395" s="49"/>
      <c r="S395" s="49">
        <v>16913.7</v>
      </c>
      <c r="T395" s="49"/>
      <c r="U395" s="49">
        <v>0</v>
      </c>
      <c r="V395" s="49"/>
      <c r="W395" s="49">
        <v>0</v>
      </c>
      <c r="X395" s="49"/>
      <c r="Y395" s="49">
        <v>0</v>
      </c>
      <c r="Z395" s="49"/>
      <c r="AA395" s="49">
        <v>0</v>
      </c>
      <c r="AB395" s="49"/>
      <c r="AC395" s="49">
        <v>0</v>
      </c>
      <c r="AD395" s="49"/>
      <c r="AE395" s="49">
        <v>0</v>
      </c>
      <c r="AF395" s="49"/>
      <c r="AG395" s="49">
        <v>0</v>
      </c>
      <c r="AH395" s="49"/>
      <c r="AI395" s="49">
        <f t="shared" si="18"/>
        <v>126639.05</v>
      </c>
      <c r="AK395" s="6" t="str">
        <f>'Gen Rev'!A395</f>
        <v>Morristown</v>
      </c>
      <c r="AL395" s="6" t="str">
        <f t="shared" si="16"/>
        <v>Morristown</v>
      </c>
      <c r="AM395" s="6" t="b">
        <f t="shared" si="17"/>
        <v>1</v>
      </c>
    </row>
    <row r="396" spans="1:39" x14ac:dyDescent="0.2">
      <c r="A396" s="6" t="s">
        <v>226</v>
      </c>
      <c r="C396" s="6" t="s">
        <v>541</v>
      </c>
      <c r="E396" s="49">
        <v>41535.769999999997</v>
      </c>
      <c r="F396" s="49"/>
      <c r="G396" s="49">
        <v>270793</v>
      </c>
      <c r="H396" s="49"/>
      <c r="I396" s="49">
        <v>245490.26</v>
      </c>
      <c r="J396" s="49"/>
      <c r="K396" s="49">
        <v>0</v>
      </c>
      <c r="L396" s="49"/>
      <c r="M396" s="49">
        <v>142299.07</v>
      </c>
      <c r="N396" s="49"/>
      <c r="O396" s="49">
        <v>112568.71</v>
      </c>
      <c r="P396" s="49"/>
      <c r="Q396" s="49">
        <v>3992</v>
      </c>
      <c r="R396" s="49"/>
      <c r="S396" s="49">
        <v>8354.2999999999993</v>
      </c>
      <c r="T396" s="49"/>
      <c r="U396" s="49">
        <v>0</v>
      </c>
      <c r="V396" s="49"/>
      <c r="W396" s="49">
        <v>0</v>
      </c>
      <c r="X396" s="49"/>
      <c r="Y396" s="49">
        <v>0</v>
      </c>
      <c r="Z396" s="49"/>
      <c r="AA396" s="49">
        <v>0</v>
      </c>
      <c r="AB396" s="49"/>
      <c r="AC396" s="49">
        <v>90000</v>
      </c>
      <c r="AD396" s="49"/>
      <c r="AE396" s="49">
        <v>13760</v>
      </c>
      <c r="AF396" s="49"/>
      <c r="AG396" s="49">
        <v>0</v>
      </c>
      <c r="AH396" s="49"/>
      <c r="AI396" s="49">
        <f t="shared" si="18"/>
        <v>928793.1100000001</v>
      </c>
      <c r="AK396" s="6" t="str">
        <f>'Gen Rev'!A396</f>
        <v>Morrow</v>
      </c>
      <c r="AL396" s="6" t="str">
        <f t="shared" si="16"/>
        <v>Morrow</v>
      </c>
      <c r="AM396" s="6" t="b">
        <f t="shared" si="17"/>
        <v>1</v>
      </c>
    </row>
    <row r="397" spans="1:39" x14ac:dyDescent="0.2">
      <c r="A397" s="6" t="s">
        <v>279</v>
      </c>
      <c r="C397" s="6" t="s">
        <v>277</v>
      </c>
      <c r="E397" s="49">
        <v>170657.08</v>
      </c>
      <c r="F397" s="49"/>
      <c r="G397" s="49">
        <v>29541.13</v>
      </c>
      <c r="H397" s="49"/>
      <c r="I397" s="49">
        <v>217784.75</v>
      </c>
      <c r="J397" s="49"/>
      <c r="K397" s="49">
        <v>0</v>
      </c>
      <c r="L397" s="49"/>
      <c r="M397" s="49">
        <v>11280.5</v>
      </c>
      <c r="N397" s="49"/>
      <c r="O397" s="49">
        <v>1643.3</v>
      </c>
      <c r="P397" s="49"/>
      <c r="Q397" s="49">
        <v>2644.11</v>
      </c>
      <c r="R397" s="49"/>
      <c r="S397" s="49">
        <v>31226.59</v>
      </c>
      <c r="T397" s="49"/>
      <c r="U397" s="49">
        <v>0</v>
      </c>
      <c r="V397" s="49"/>
      <c r="W397" s="49">
        <v>0</v>
      </c>
      <c r="X397" s="49"/>
      <c r="Y397" s="49">
        <v>4701</v>
      </c>
      <c r="Z397" s="49"/>
      <c r="AA397" s="49">
        <v>0</v>
      </c>
      <c r="AB397" s="49"/>
      <c r="AC397" s="49">
        <v>0</v>
      </c>
      <c r="AD397" s="49"/>
      <c r="AE397" s="49">
        <v>0</v>
      </c>
      <c r="AF397" s="49"/>
      <c r="AG397" s="49">
        <v>206355.08</v>
      </c>
      <c r="AH397" s="49"/>
      <c r="AI397" s="49">
        <f t="shared" si="18"/>
        <v>675833.53999999992</v>
      </c>
      <c r="AK397" s="6" t="str">
        <f>'Gen Rev'!A397</f>
        <v>Moscow</v>
      </c>
      <c r="AL397" s="6" t="str">
        <f t="shared" si="16"/>
        <v>Moscow</v>
      </c>
      <c r="AM397" s="6" t="b">
        <f t="shared" si="17"/>
        <v>1</v>
      </c>
    </row>
    <row r="398" spans="1:39" x14ac:dyDescent="0.2">
      <c r="A398" s="6" t="s">
        <v>849</v>
      </c>
      <c r="C398" s="6" t="s">
        <v>360</v>
      </c>
      <c r="E398" s="49">
        <v>43048.03</v>
      </c>
      <c r="F398" s="49"/>
      <c r="G398" s="49">
        <v>0</v>
      </c>
      <c r="H398" s="49"/>
      <c r="I398" s="49">
        <v>39051.11</v>
      </c>
      <c r="J398" s="49"/>
      <c r="K398" s="49">
        <v>0</v>
      </c>
      <c r="L398" s="49"/>
      <c r="M398" s="49">
        <v>505</v>
      </c>
      <c r="N398" s="49"/>
      <c r="O398" s="49">
        <v>30</v>
      </c>
      <c r="P398" s="49"/>
      <c r="Q398" s="49">
        <v>64.959999999999994</v>
      </c>
      <c r="R398" s="49"/>
      <c r="S398" s="49">
        <v>723.79</v>
      </c>
      <c r="T398" s="49"/>
      <c r="U398" s="49">
        <v>0</v>
      </c>
      <c r="V398" s="49"/>
      <c r="W398" s="49">
        <v>0</v>
      </c>
      <c r="X398" s="49"/>
      <c r="Y398" s="49">
        <v>0</v>
      </c>
      <c r="Z398" s="49"/>
      <c r="AA398" s="49">
        <v>0</v>
      </c>
      <c r="AB398" s="49"/>
      <c r="AC398" s="49">
        <v>0</v>
      </c>
      <c r="AD398" s="49"/>
      <c r="AE398" s="49">
        <v>0</v>
      </c>
      <c r="AF398" s="49"/>
      <c r="AG398" s="49">
        <v>0</v>
      </c>
      <c r="AH398" s="49"/>
      <c r="AI398" s="49">
        <f t="shared" si="18"/>
        <v>83422.89</v>
      </c>
      <c r="AK398" s="6" t="str">
        <f>'Gen Rev'!A398</f>
        <v>Mount Blanchard</v>
      </c>
      <c r="AL398" s="6" t="str">
        <f t="shared" si="16"/>
        <v>Mount Blanchard</v>
      </c>
      <c r="AM398" s="6" t="b">
        <f t="shared" si="17"/>
        <v>1</v>
      </c>
    </row>
    <row r="399" spans="1:39" x14ac:dyDescent="0.2">
      <c r="A399" s="6" t="s">
        <v>232</v>
      </c>
      <c r="C399" s="6" t="s">
        <v>547</v>
      </c>
      <c r="E399" s="49">
        <v>13708.75</v>
      </c>
      <c r="F399" s="49"/>
      <c r="G399" s="49">
        <v>103205.4</v>
      </c>
      <c r="H399" s="49"/>
      <c r="I399" s="49">
        <v>27172.27</v>
      </c>
      <c r="J399" s="49"/>
      <c r="K399" s="49">
        <v>0</v>
      </c>
      <c r="L399" s="49"/>
      <c r="M399" s="49">
        <v>200</v>
      </c>
      <c r="N399" s="49"/>
      <c r="O399" s="49">
        <v>72299.19</v>
      </c>
      <c r="P399" s="49"/>
      <c r="Q399" s="49">
        <v>30.02</v>
      </c>
      <c r="R399" s="49"/>
      <c r="S399" s="49">
        <v>4553.24</v>
      </c>
      <c r="T399" s="49"/>
      <c r="U399" s="49">
        <v>0</v>
      </c>
      <c r="V399" s="49"/>
      <c r="W399" s="49">
        <v>0</v>
      </c>
      <c r="X399" s="49"/>
      <c r="Y399" s="49">
        <v>0</v>
      </c>
      <c r="Z399" s="49"/>
      <c r="AA399" s="49">
        <v>14000</v>
      </c>
      <c r="AB399" s="49"/>
      <c r="AC399" s="49">
        <v>0</v>
      </c>
      <c r="AD399" s="49"/>
      <c r="AE399" s="49">
        <v>0</v>
      </c>
      <c r="AF399" s="49"/>
      <c r="AG399" s="49">
        <v>0</v>
      </c>
      <c r="AH399" s="49"/>
      <c r="AI399" s="49">
        <f t="shared" si="18"/>
        <v>235168.86999999997</v>
      </c>
      <c r="AK399" s="6" t="str">
        <f>'Gen Rev'!A399</f>
        <v>Mount Eaton</v>
      </c>
      <c r="AL399" s="6" t="str">
        <f t="shared" si="16"/>
        <v>Mount Eaton</v>
      </c>
      <c r="AM399" s="6" t="b">
        <f t="shared" si="17"/>
        <v>1</v>
      </c>
    </row>
    <row r="400" spans="1:39" x14ac:dyDescent="0.2">
      <c r="A400" s="6" t="s">
        <v>132</v>
      </c>
      <c r="C400" s="6" t="s">
        <v>401</v>
      </c>
      <c r="E400" s="49">
        <v>14674.55</v>
      </c>
      <c r="F400" s="49"/>
      <c r="G400" s="49">
        <v>501791.31</v>
      </c>
      <c r="H400" s="49"/>
      <c r="I400" s="49">
        <v>789723.18</v>
      </c>
      <c r="J400" s="49"/>
      <c r="K400" s="49">
        <v>200</v>
      </c>
      <c r="L400" s="49"/>
      <c r="M400" s="49">
        <v>400</v>
      </c>
      <c r="N400" s="49"/>
      <c r="O400" s="49">
        <v>28893.53</v>
      </c>
      <c r="P400" s="49"/>
      <c r="Q400" s="49">
        <v>499.85</v>
      </c>
      <c r="R400" s="49"/>
      <c r="S400" s="49">
        <v>9015.77</v>
      </c>
      <c r="T400" s="49"/>
      <c r="U400" s="49">
        <v>50000</v>
      </c>
      <c r="V400" s="49"/>
      <c r="W400" s="49">
        <v>0</v>
      </c>
      <c r="X400" s="49"/>
      <c r="Y400" s="49">
        <v>10000</v>
      </c>
      <c r="Z400" s="49"/>
      <c r="AA400" s="49">
        <v>0</v>
      </c>
      <c r="AB400" s="49"/>
      <c r="AC400" s="49">
        <v>10000</v>
      </c>
      <c r="AD400" s="49"/>
      <c r="AE400" s="49">
        <v>0</v>
      </c>
      <c r="AF400" s="49"/>
      <c r="AG400" s="49">
        <v>0</v>
      </c>
      <c r="AH400" s="49"/>
      <c r="AI400" s="49">
        <f t="shared" si="18"/>
        <v>1415198.1900000002</v>
      </c>
      <c r="AK400" s="6" t="str">
        <f>'Gen Rev'!A400</f>
        <v>Mount Sterling</v>
      </c>
      <c r="AL400" s="6" t="str">
        <f t="shared" si="16"/>
        <v>Mount Sterling</v>
      </c>
      <c r="AM400" s="6" t="b">
        <f t="shared" si="17"/>
        <v>1</v>
      </c>
    </row>
    <row r="401" spans="1:39" x14ac:dyDescent="0.2">
      <c r="A401" s="6" t="s">
        <v>94</v>
      </c>
      <c r="C401" s="6" t="s">
        <v>366</v>
      </c>
      <c r="E401" s="49">
        <v>14285.07</v>
      </c>
      <c r="F401" s="49"/>
      <c r="G401" s="49">
        <v>8539.56</v>
      </c>
      <c r="H401" s="49"/>
      <c r="I401" s="49">
        <v>40847.22</v>
      </c>
      <c r="J401" s="49"/>
      <c r="K401" s="49">
        <v>13202.07</v>
      </c>
      <c r="L401" s="49"/>
      <c r="M401" s="49">
        <v>0</v>
      </c>
      <c r="N401" s="49"/>
      <c r="O401" s="49">
        <v>3601.15</v>
      </c>
      <c r="P401" s="49"/>
      <c r="Q401" s="49">
        <v>912.97</v>
      </c>
      <c r="R401" s="49"/>
      <c r="S401" s="49">
        <v>29284.02</v>
      </c>
      <c r="T401" s="49"/>
      <c r="U401" s="49">
        <v>0</v>
      </c>
      <c r="V401" s="49"/>
      <c r="W401" s="49">
        <v>0</v>
      </c>
      <c r="X401" s="49"/>
      <c r="Y401" s="49">
        <v>0</v>
      </c>
      <c r="Z401" s="49"/>
      <c r="AA401" s="49">
        <v>0</v>
      </c>
      <c r="AB401" s="49"/>
      <c r="AC401" s="49">
        <v>0</v>
      </c>
      <c r="AD401" s="49"/>
      <c r="AE401" s="49">
        <v>0</v>
      </c>
      <c r="AF401" s="49"/>
      <c r="AG401" s="49">
        <v>0</v>
      </c>
      <c r="AH401" s="49"/>
      <c r="AI401" s="49">
        <f t="shared" si="18"/>
        <v>110672.06</v>
      </c>
      <c r="AK401" s="6" t="str">
        <f>'Gen Rev'!A401</f>
        <v>Mount Victory</v>
      </c>
      <c r="AL401" s="6" t="str">
        <f t="shared" si="16"/>
        <v>Mount Victory</v>
      </c>
      <c r="AM401" s="6" t="b">
        <f t="shared" si="17"/>
        <v>1</v>
      </c>
    </row>
    <row r="402" spans="1:39" x14ac:dyDescent="0.2">
      <c r="A402" s="6" t="s">
        <v>380</v>
      </c>
      <c r="C402" s="6" t="s">
        <v>379</v>
      </c>
      <c r="E402" s="49">
        <v>37763.4</v>
      </c>
      <c r="F402" s="49"/>
      <c r="G402" s="49">
        <v>0</v>
      </c>
      <c r="H402" s="49"/>
      <c r="I402" s="49">
        <v>40075.839999999997</v>
      </c>
      <c r="J402" s="49"/>
      <c r="K402" s="49">
        <v>0</v>
      </c>
      <c r="L402" s="49"/>
      <c r="M402" s="49">
        <v>14923.36</v>
      </c>
      <c r="N402" s="49"/>
      <c r="O402" s="49">
        <v>2897.97</v>
      </c>
      <c r="P402" s="49"/>
      <c r="Q402" s="49">
        <v>7.38</v>
      </c>
      <c r="R402" s="49"/>
      <c r="S402" s="49">
        <v>12510.48</v>
      </c>
      <c r="T402" s="49"/>
      <c r="U402" s="49">
        <v>0</v>
      </c>
      <c r="V402" s="49"/>
      <c r="W402" s="49">
        <v>0</v>
      </c>
      <c r="X402" s="49"/>
      <c r="Y402" s="49">
        <v>0</v>
      </c>
      <c r="Z402" s="49"/>
      <c r="AA402" s="49">
        <v>0</v>
      </c>
      <c r="AB402" s="49"/>
      <c r="AC402" s="49">
        <v>0</v>
      </c>
      <c r="AD402" s="49"/>
      <c r="AE402" s="49">
        <v>0</v>
      </c>
      <c r="AF402" s="49"/>
      <c r="AG402" s="49">
        <v>0</v>
      </c>
      <c r="AH402" s="49"/>
      <c r="AI402" s="49">
        <f t="shared" si="18"/>
        <v>108178.43</v>
      </c>
      <c r="AK402" s="6" t="str">
        <f>'Gen Rev'!A402</f>
        <v>Mowrystown</v>
      </c>
      <c r="AL402" s="6" t="str">
        <f t="shared" si="16"/>
        <v>Mowrystown</v>
      </c>
      <c r="AM402" s="6" t="b">
        <f t="shared" si="17"/>
        <v>1</v>
      </c>
    </row>
    <row r="403" spans="1:39" x14ac:dyDescent="0.2">
      <c r="A403" s="6" t="s">
        <v>833</v>
      </c>
      <c r="C403" s="6" t="s">
        <v>226</v>
      </c>
      <c r="E403" s="49">
        <v>167280</v>
      </c>
      <c r="F403" s="49"/>
      <c r="G403" s="49">
        <v>903691</v>
      </c>
      <c r="H403" s="49"/>
      <c r="I403" s="49">
        <v>187185</v>
      </c>
      <c r="J403" s="49"/>
      <c r="K403" s="49">
        <v>0</v>
      </c>
      <c r="L403" s="49"/>
      <c r="M403" s="49">
        <v>162805</v>
      </c>
      <c r="N403" s="49"/>
      <c r="O403" s="49">
        <v>46545</v>
      </c>
      <c r="P403" s="49"/>
      <c r="Q403" s="49">
        <v>14446</v>
      </c>
      <c r="R403" s="49"/>
      <c r="S403" s="49">
        <v>68910</v>
      </c>
      <c r="T403" s="49"/>
      <c r="U403" s="49">
        <v>0</v>
      </c>
      <c r="V403" s="49"/>
      <c r="W403" s="49">
        <v>0</v>
      </c>
      <c r="X403" s="49"/>
      <c r="Y403" s="49">
        <v>0</v>
      </c>
      <c r="Z403" s="49"/>
      <c r="AA403" s="49">
        <v>287700</v>
      </c>
      <c r="AB403" s="49"/>
      <c r="AC403" s="49">
        <v>0</v>
      </c>
      <c r="AD403" s="49"/>
      <c r="AE403" s="49">
        <v>0</v>
      </c>
      <c r="AF403" s="49"/>
      <c r="AG403" s="49">
        <v>0</v>
      </c>
      <c r="AH403" s="49"/>
      <c r="AI403" s="49">
        <f t="shared" si="18"/>
        <v>1838562</v>
      </c>
      <c r="AK403" s="6" t="str">
        <f>'Gen Rev'!A403</f>
        <v>Mt. Gilead</v>
      </c>
      <c r="AL403" s="6" t="str">
        <f t="shared" si="16"/>
        <v>Mt. Gilead</v>
      </c>
      <c r="AM403" s="6" t="b">
        <f t="shared" si="17"/>
        <v>1</v>
      </c>
    </row>
    <row r="404" spans="1:39" x14ac:dyDescent="0.2">
      <c r="A404" s="6" t="s">
        <v>24</v>
      </c>
      <c r="C404" s="6" t="s">
        <v>265</v>
      </c>
      <c r="E404" s="49">
        <v>335268.37</v>
      </c>
      <c r="F404" s="49"/>
      <c r="G404" s="49">
        <v>944784.99</v>
      </c>
      <c r="H404" s="49"/>
      <c r="I404" s="49">
        <v>297936.63</v>
      </c>
      <c r="J404" s="49"/>
      <c r="K404" s="49">
        <v>68565.64</v>
      </c>
      <c r="L404" s="49"/>
      <c r="M404" s="49">
        <v>599278.96</v>
      </c>
      <c r="N404" s="49"/>
      <c r="O404" s="49">
        <v>203476.89</v>
      </c>
      <c r="P404" s="49"/>
      <c r="Q404" s="49">
        <v>5107.09</v>
      </c>
      <c r="R404" s="49"/>
      <c r="S404" s="49">
        <v>648070.72</v>
      </c>
      <c r="T404" s="49"/>
      <c r="U404" s="49">
        <v>0</v>
      </c>
      <c r="V404" s="49"/>
      <c r="W404" s="49">
        <v>2300000</v>
      </c>
      <c r="X404" s="49"/>
      <c r="Y404" s="49">
        <v>16016</v>
      </c>
      <c r="Z404" s="49"/>
      <c r="AA404" s="49">
        <v>512347.13</v>
      </c>
      <c r="AB404" s="49"/>
      <c r="AC404" s="49">
        <v>0</v>
      </c>
      <c r="AD404" s="49"/>
      <c r="AE404" s="49">
        <v>19159</v>
      </c>
      <c r="AF404" s="49"/>
      <c r="AG404" s="49">
        <v>17388.96</v>
      </c>
      <c r="AH404" s="49"/>
      <c r="AI404" s="49">
        <f t="shared" si="18"/>
        <v>5967400.3799999999</v>
      </c>
      <c r="AK404" s="6" t="str">
        <f>'Gen Rev'!A404</f>
        <v>Mt. Orab</v>
      </c>
      <c r="AL404" s="6" t="str">
        <f t="shared" si="16"/>
        <v>Mt. Orab</v>
      </c>
      <c r="AM404" s="6" t="b">
        <f t="shared" si="17"/>
        <v>1</v>
      </c>
    </row>
    <row r="405" spans="1:39" x14ac:dyDescent="0.2">
      <c r="A405" s="6" t="s">
        <v>107</v>
      </c>
      <c r="C405" s="6" t="s">
        <v>790</v>
      </c>
      <c r="E405" s="49">
        <v>46981.87</v>
      </c>
      <c r="F405" s="49"/>
      <c r="G405" s="49">
        <v>0</v>
      </c>
      <c r="H405" s="49"/>
      <c r="I405" s="49">
        <v>62955.39</v>
      </c>
      <c r="J405" s="49"/>
      <c r="K405" s="49">
        <v>0</v>
      </c>
      <c r="L405" s="49"/>
      <c r="M405" s="49">
        <v>9380</v>
      </c>
      <c r="N405" s="49"/>
      <c r="O405" s="49">
        <v>7586</v>
      </c>
      <c r="P405" s="49"/>
      <c r="Q405" s="49">
        <v>68.5</v>
      </c>
      <c r="R405" s="49"/>
      <c r="S405" s="49">
        <v>4419.46</v>
      </c>
      <c r="T405" s="49"/>
      <c r="U405" s="49">
        <v>0</v>
      </c>
      <c r="V405" s="49"/>
      <c r="W405" s="49">
        <v>0</v>
      </c>
      <c r="X405" s="49"/>
      <c r="Y405" s="49">
        <v>0</v>
      </c>
      <c r="Z405" s="49"/>
      <c r="AA405" s="49">
        <v>0</v>
      </c>
      <c r="AB405" s="49"/>
      <c r="AC405" s="49">
        <v>0</v>
      </c>
      <c r="AD405" s="49"/>
      <c r="AE405" s="49">
        <v>0</v>
      </c>
      <c r="AF405" s="49"/>
      <c r="AG405" s="49">
        <v>0</v>
      </c>
      <c r="AH405" s="49"/>
      <c r="AI405" s="49">
        <f t="shared" si="18"/>
        <v>131391.22</v>
      </c>
      <c r="AK405" s="6" t="str">
        <f>'Gen Rev'!A405</f>
        <v>Murray City</v>
      </c>
      <c r="AL405" s="6" t="str">
        <f t="shared" si="16"/>
        <v>Murray City</v>
      </c>
      <c r="AM405" s="6" t="b">
        <f t="shared" si="17"/>
        <v>1</v>
      </c>
    </row>
    <row r="406" spans="1:39" x14ac:dyDescent="0.2">
      <c r="A406" s="6" t="s">
        <v>270</v>
      </c>
      <c r="C406" s="6" t="s">
        <v>269</v>
      </c>
      <c r="E406" s="49">
        <v>2938.13</v>
      </c>
      <c r="F406" s="49"/>
      <c r="G406" s="49">
        <v>0</v>
      </c>
      <c r="H406" s="49"/>
      <c r="I406" s="49">
        <v>9573.33</v>
      </c>
      <c r="J406" s="49"/>
      <c r="K406" s="49">
        <v>0</v>
      </c>
      <c r="L406" s="49"/>
      <c r="M406" s="49">
        <v>0</v>
      </c>
      <c r="N406" s="49"/>
      <c r="O406" s="49">
        <v>25</v>
      </c>
      <c r="P406" s="49"/>
      <c r="Q406" s="49">
        <v>39.65</v>
      </c>
      <c r="R406" s="49"/>
      <c r="S406" s="49">
        <v>0</v>
      </c>
      <c r="T406" s="49"/>
      <c r="U406" s="49">
        <v>0</v>
      </c>
      <c r="V406" s="49"/>
      <c r="W406" s="49">
        <v>0</v>
      </c>
      <c r="X406" s="49"/>
      <c r="Y406" s="49">
        <v>0</v>
      </c>
      <c r="Z406" s="49"/>
      <c r="AA406" s="49">
        <v>0</v>
      </c>
      <c r="AB406" s="49"/>
      <c r="AC406" s="49">
        <v>0</v>
      </c>
      <c r="AD406" s="49"/>
      <c r="AE406" s="49">
        <v>73.91</v>
      </c>
      <c r="AF406" s="49"/>
      <c r="AG406" s="49">
        <v>0</v>
      </c>
      <c r="AH406" s="49"/>
      <c r="AI406" s="49">
        <f t="shared" si="18"/>
        <v>12650.019999999999</v>
      </c>
      <c r="AK406" s="6" t="str">
        <f>'Gen Rev'!A406</f>
        <v>Mutual</v>
      </c>
      <c r="AL406" s="6" t="str">
        <f t="shared" si="16"/>
        <v>Mutual</v>
      </c>
      <c r="AM406" s="6" t="b">
        <f t="shared" si="17"/>
        <v>1</v>
      </c>
    </row>
    <row r="407" spans="1:39" x14ac:dyDescent="0.2">
      <c r="A407" s="6" t="s">
        <v>508</v>
      </c>
      <c r="C407" s="6" t="s">
        <v>502</v>
      </c>
      <c r="E407" s="49">
        <v>993067</v>
      </c>
      <c r="F407" s="49"/>
      <c r="G407" s="49">
        <v>0</v>
      </c>
      <c r="H407" s="49"/>
      <c r="I407" s="49">
        <v>277153</v>
      </c>
      <c r="J407" s="49"/>
      <c r="K407" s="49">
        <v>0</v>
      </c>
      <c r="L407" s="49"/>
      <c r="M407" s="49">
        <v>51563</v>
      </c>
      <c r="N407" s="49"/>
      <c r="O407" s="49">
        <v>3656</v>
      </c>
      <c r="P407" s="49"/>
      <c r="Q407" s="49">
        <v>1451</v>
      </c>
      <c r="R407" s="49"/>
      <c r="S407" s="49">
        <v>45155</v>
      </c>
      <c r="T407" s="49"/>
      <c r="U407" s="49">
        <v>0</v>
      </c>
      <c r="V407" s="49"/>
      <c r="W407" s="49">
        <v>0</v>
      </c>
      <c r="X407" s="49"/>
      <c r="Y407" s="49">
        <v>0</v>
      </c>
      <c r="Z407" s="49"/>
      <c r="AA407" s="49">
        <v>928000</v>
      </c>
      <c r="AB407" s="49"/>
      <c r="AC407" s="49">
        <v>0</v>
      </c>
      <c r="AD407" s="49"/>
      <c r="AE407" s="49">
        <v>0</v>
      </c>
      <c r="AF407" s="49"/>
      <c r="AG407" s="49">
        <v>0</v>
      </c>
      <c r="AH407" s="49"/>
      <c r="AI407" s="49">
        <f t="shared" si="18"/>
        <v>2300045</v>
      </c>
      <c r="AK407" s="6" t="str">
        <f>'Gen Rev'!A407</f>
        <v>Navarre</v>
      </c>
      <c r="AL407" s="6" t="str">
        <f t="shared" si="16"/>
        <v>Navarre</v>
      </c>
      <c r="AM407" s="6" t="b">
        <f t="shared" si="17"/>
        <v>1</v>
      </c>
    </row>
    <row r="408" spans="1:39" x14ac:dyDescent="0.2"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</row>
    <row r="409" spans="1:39" ht="12.75" x14ac:dyDescent="0.2"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88" t="s">
        <v>733</v>
      </c>
    </row>
    <row r="410" spans="1:39" x14ac:dyDescent="0.2"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</row>
    <row r="411" spans="1:39" x14ac:dyDescent="0.2">
      <c r="A411" s="6" t="s">
        <v>286</v>
      </c>
      <c r="C411" s="6" t="s">
        <v>285</v>
      </c>
      <c r="E411" s="52">
        <v>16566</v>
      </c>
      <c r="F411" s="52"/>
      <c r="G411" s="52">
        <v>0</v>
      </c>
      <c r="H411" s="52"/>
      <c r="I411" s="52">
        <v>0</v>
      </c>
      <c r="J411" s="52"/>
      <c r="K411" s="52">
        <v>13539</v>
      </c>
      <c r="L411" s="52"/>
      <c r="M411" s="52">
        <v>1840</v>
      </c>
      <c r="N411" s="52"/>
      <c r="O411" s="52">
        <v>0</v>
      </c>
      <c r="P411" s="52"/>
      <c r="Q411" s="52">
        <v>5</v>
      </c>
      <c r="R411" s="52"/>
      <c r="S411" s="52">
        <v>0</v>
      </c>
      <c r="T411" s="52"/>
      <c r="U411" s="52">
        <v>0</v>
      </c>
      <c r="V411" s="52"/>
      <c r="W411" s="52">
        <v>0</v>
      </c>
      <c r="X411" s="52"/>
      <c r="Y411" s="52">
        <v>0</v>
      </c>
      <c r="Z411" s="52"/>
      <c r="AA411" s="52">
        <v>0</v>
      </c>
      <c r="AB411" s="52"/>
      <c r="AC411" s="52">
        <v>0</v>
      </c>
      <c r="AD411" s="52"/>
      <c r="AE411" s="52">
        <v>0</v>
      </c>
      <c r="AF411" s="52"/>
      <c r="AG411" s="52">
        <v>0</v>
      </c>
      <c r="AH411" s="49"/>
      <c r="AI411" s="52">
        <f t="shared" si="18"/>
        <v>31950</v>
      </c>
      <c r="AK411" s="6" t="str">
        <f>'Gen Rev'!A411</f>
        <v>Nellie</v>
      </c>
      <c r="AL411" s="6" t="str">
        <f t="shared" ref="AL411:AL474" si="19">A411</f>
        <v>Nellie</v>
      </c>
      <c r="AM411" s="6" t="b">
        <f t="shared" ref="AM411:AM474" si="20">AK411=AL411</f>
        <v>1</v>
      </c>
    </row>
    <row r="412" spans="1:39" x14ac:dyDescent="0.2">
      <c r="A412" s="6" t="s">
        <v>567</v>
      </c>
      <c r="C412" s="6" t="s">
        <v>566</v>
      </c>
      <c r="E412" s="49">
        <v>63637</v>
      </c>
      <c r="F412" s="49"/>
      <c r="G412" s="49">
        <v>0</v>
      </c>
      <c r="H412" s="49"/>
      <c r="I412" s="49">
        <v>52182</v>
      </c>
      <c r="J412" s="49"/>
      <c r="K412" s="49">
        <v>0</v>
      </c>
      <c r="L412" s="49"/>
      <c r="M412" s="49">
        <v>0</v>
      </c>
      <c r="N412" s="49"/>
      <c r="O412" s="49">
        <v>603</v>
      </c>
      <c r="P412" s="49"/>
      <c r="Q412" s="49">
        <v>0</v>
      </c>
      <c r="R412" s="49"/>
      <c r="S412" s="49">
        <v>5143</v>
      </c>
      <c r="T412" s="49"/>
      <c r="U412" s="49">
        <v>0</v>
      </c>
      <c r="V412" s="49"/>
      <c r="W412" s="49">
        <v>0</v>
      </c>
      <c r="X412" s="49"/>
      <c r="Y412" s="49">
        <v>0</v>
      </c>
      <c r="Z412" s="49"/>
      <c r="AA412" s="49">
        <v>85320</v>
      </c>
      <c r="AB412" s="49"/>
      <c r="AC412" s="49">
        <v>0</v>
      </c>
      <c r="AD412" s="49"/>
      <c r="AE412" s="49">
        <v>0</v>
      </c>
      <c r="AF412" s="49"/>
      <c r="AG412" s="49">
        <v>0</v>
      </c>
      <c r="AH412" s="49"/>
      <c r="AI412" s="49">
        <f t="shared" si="18"/>
        <v>206885</v>
      </c>
      <c r="AK412" s="6" t="str">
        <f>'Gen Rev'!A412</f>
        <v>Nevada</v>
      </c>
      <c r="AL412" s="6" t="str">
        <f t="shared" si="19"/>
        <v>Nevada</v>
      </c>
      <c r="AM412" s="6" t="b">
        <f t="shared" si="20"/>
        <v>1</v>
      </c>
    </row>
    <row r="413" spans="1:39" x14ac:dyDescent="0.2">
      <c r="A413" s="6" t="s">
        <v>36</v>
      </c>
      <c r="C413" s="6" t="s">
        <v>277</v>
      </c>
      <c r="E413" s="49">
        <v>2907.71</v>
      </c>
      <c r="F413" s="49"/>
      <c r="G413" s="49">
        <v>0</v>
      </c>
      <c r="H413" s="49"/>
      <c r="I413" s="49">
        <v>12883.4</v>
      </c>
      <c r="J413" s="49"/>
      <c r="K413" s="49">
        <v>0</v>
      </c>
      <c r="L413" s="49"/>
      <c r="M413" s="49">
        <v>5090</v>
      </c>
      <c r="N413" s="49"/>
      <c r="O413" s="49">
        <v>0</v>
      </c>
      <c r="P413" s="49"/>
      <c r="Q413" s="49">
        <v>106.35</v>
      </c>
      <c r="R413" s="49"/>
      <c r="S413" s="49">
        <v>0</v>
      </c>
      <c r="T413" s="49"/>
      <c r="U413" s="49">
        <v>0</v>
      </c>
      <c r="V413" s="49"/>
      <c r="W413" s="49">
        <v>0</v>
      </c>
      <c r="X413" s="49"/>
      <c r="Y413" s="49">
        <v>0</v>
      </c>
      <c r="Z413" s="49"/>
      <c r="AA413" s="49">
        <v>185.09</v>
      </c>
      <c r="AB413" s="49"/>
      <c r="AC413" s="49">
        <v>0</v>
      </c>
      <c r="AD413" s="49"/>
      <c r="AE413" s="49">
        <v>0</v>
      </c>
      <c r="AF413" s="49"/>
      <c r="AG413" s="49">
        <v>0</v>
      </c>
      <c r="AH413" s="49"/>
      <c r="AI413" s="49">
        <f t="shared" ref="AI413:AI479" si="21">SUM(E413:AG413)</f>
        <v>21172.55</v>
      </c>
      <c r="AK413" s="6" t="str">
        <f>'Gen Rev'!A413</f>
        <v>Neville</v>
      </c>
      <c r="AL413" s="6" t="str">
        <f t="shared" si="19"/>
        <v>Neville</v>
      </c>
      <c r="AM413" s="6" t="b">
        <f t="shared" si="20"/>
        <v>1</v>
      </c>
    </row>
    <row r="414" spans="1:39" x14ac:dyDescent="0.2">
      <c r="A414" s="6" t="s">
        <v>847</v>
      </c>
      <c r="C414" s="6" t="s">
        <v>390</v>
      </c>
      <c r="D414" s="14"/>
      <c r="E414" s="49">
        <v>22358</v>
      </c>
      <c r="F414" s="49"/>
      <c r="G414" s="49">
        <v>0</v>
      </c>
      <c r="H414" s="49"/>
      <c r="I414" s="49">
        <v>8038</v>
      </c>
      <c r="J414" s="49"/>
      <c r="K414" s="49">
        <v>0</v>
      </c>
      <c r="L414" s="49"/>
      <c r="M414" s="49">
        <v>20850</v>
      </c>
      <c r="N414" s="49"/>
      <c r="O414" s="49">
        <v>2344</v>
      </c>
      <c r="P414" s="49"/>
      <c r="Q414" s="49">
        <v>4552</v>
      </c>
      <c r="R414" s="49"/>
      <c r="S414" s="49">
        <v>624</v>
      </c>
      <c r="T414" s="49"/>
      <c r="U414" s="49">
        <v>0</v>
      </c>
      <c r="V414" s="49"/>
      <c r="W414" s="49">
        <v>0</v>
      </c>
      <c r="X414" s="49"/>
      <c r="Y414" s="49">
        <v>0</v>
      </c>
      <c r="Z414" s="49"/>
      <c r="AA414" s="49">
        <v>0</v>
      </c>
      <c r="AB414" s="49"/>
      <c r="AC414" s="49">
        <v>0</v>
      </c>
      <c r="AD414" s="49"/>
      <c r="AE414" s="49">
        <v>0</v>
      </c>
      <c r="AF414" s="49"/>
      <c r="AG414" s="49">
        <v>0</v>
      </c>
      <c r="AH414" s="49"/>
      <c r="AI414" s="49">
        <f t="shared" si="21"/>
        <v>58766</v>
      </c>
      <c r="AK414" s="6" t="str">
        <f>'Gen Rev'!A414</f>
        <v>New Alexandria</v>
      </c>
      <c r="AL414" s="6" t="str">
        <f t="shared" si="19"/>
        <v>New Alexandria</v>
      </c>
      <c r="AM414" s="6" t="b">
        <f t="shared" si="20"/>
        <v>1</v>
      </c>
    </row>
    <row r="415" spans="1:39" x14ac:dyDescent="0.2">
      <c r="A415" s="6" t="s">
        <v>98</v>
      </c>
      <c r="C415" s="6" t="s">
        <v>373</v>
      </c>
      <c r="E415" s="49">
        <v>22305.99</v>
      </c>
      <c r="F415" s="49"/>
      <c r="G415" s="49">
        <v>0</v>
      </c>
      <c r="H415" s="49"/>
      <c r="I415" s="49">
        <v>39939.24</v>
      </c>
      <c r="J415" s="49"/>
      <c r="K415" s="49">
        <v>0</v>
      </c>
      <c r="L415" s="49"/>
      <c r="M415" s="49">
        <v>0</v>
      </c>
      <c r="N415" s="49"/>
      <c r="O415" s="49">
        <v>20946</v>
      </c>
      <c r="P415" s="49"/>
      <c r="Q415" s="49">
        <v>48.94</v>
      </c>
      <c r="R415" s="49"/>
      <c r="S415" s="49">
        <v>2391.54</v>
      </c>
      <c r="T415" s="49"/>
      <c r="U415" s="49">
        <v>0</v>
      </c>
      <c r="V415" s="49"/>
      <c r="W415" s="49">
        <v>0</v>
      </c>
      <c r="X415" s="49"/>
      <c r="Y415" s="49">
        <v>0</v>
      </c>
      <c r="Z415" s="49"/>
      <c r="AA415" s="49">
        <v>0</v>
      </c>
      <c r="AB415" s="49"/>
      <c r="AC415" s="49">
        <v>0</v>
      </c>
      <c r="AD415" s="49"/>
      <c r="AE415" s="49">
        <v>14431.5</v>
      </c>
      <c r="AF415" s="49"/>
      <c r="AG415" s="49">
        <v>0</v>
      </c>
      <c r="AH415" s="49"/>
      <c r="AI415" s="49">
        <f t="shared" si="21"/>
        <v>100063.20999999999</v>
      </c>
      <c r="AK415" s="6" t="str">
        <f>'Gen Rev'!A415</f>
        <v>New Athens</v>
      </c>
      <c r="AL415" s="6" t="str">
        <f t="shared" si="19"/>
        <v>New Athens</v>
      </c>
      <c r="AM415" s="6" t="b">
        <f t="shared" si="20"/>
        <v>1</v>
      </c>
    </row>
    <row r="416" spans="1:39" x14ac:dyDescent="0.2">
      <c r="A416" s="6" t="s">
        <v>104</v>
      </c>
      <c r="C416" s="6" t="s">
        <v>377</v>
      </c>
      <c r="E416" s="49">
        <v>4677.51</v>
      </c>
      <c r="F416" s="49"/>
      <c r="G416" s="49">
        <v>19594.34</v>
      </c>
      <c r="H416" s="49"/>
      <c r="I416" s="49">
        <v>7208.25</v>
      </c>
      <c r="J416" s="49"/>
      <c r="K416" s="49">
        <v>0</v>
      </c>
      <c r="L416" s="49"/>
      <c r="M416" s="49">
        <v>715</v>
      </c>
      <c r="N416" s="49"/>
      <c r="O416" s="49">
        <v>0</v>
      </c>
      <c r="P416" s="49"/>
      <c r="Q416" s="49">
        <v>11.73</v>
      </c>
      <c r="R416" s="49"/>
      <c r="S416" s="49">
        <v>3740</v>
      </c>
      <c r="T416" s="49"/>
      <c r="U416" s="49">
        <v>0</v>
      </c>
      <c r="V416" s="49"/>
      <c r="W416" s="49">
        <v>0</v>
      </c>
      <c r="X416" s="49"/>
      <c r="Y416" s="49">
        <v>0</v>
      </c>
      <c r="Z416" s="49"/>
      <c r="AA416" s="49">
        <v>0</v>
      </c>
      <c r="AB416" s="49"/>
      <c r="AC416" s="49">
        <v>0</v>
      </c>
      <c r="AD416" s="49"/>
      <c r="AE416" s="49">
        <v>0</v>
      </c>
      <c r="AF416" s="49"/>
      <c r="AG416" s="49">
        <v>0</v>
      </c>
      <c r="AH416" s="49"/>
      <c r="AI416" s="49">
        <f t="shared" si="21"/>
        <v>35946.83</v>
      </c>
      <c r="AK416" s="6" t="str">
        <f>'Gen Rev'!A416</f>
        <v>New Bavaria</v>
      </c>
      <c r="AL416" s="6" t="str">
        <f t="shared" si="19"/>
        <v>New Bavaria</v>
      </c>
      <c r="AM416" s="6" t="b">
        <f t="shared" si="20"/>
        <v>1</v>
      </c>
    </row>
    <row r="417" spans="1:39" x14ac:dyDescent="0.2">
      <c r="A417" s="6" t="s">
        <v>139</v>
      </c>
      <c r="C417" s="6" t="s">
        <v>430</v>
      </c>
      <c r="E417" s="49">
        <v>8899.0499999999993</v>
      </c>
      <c r="F417" s="49"/>
      <c r="G417" s="49">
        <v>26498.1</v>
      </c>
      <c r="H417" s="49"/>
      <c r="I417" s="49">
        <v>30947.29</v>
      </c>
      <c r="J417" s="49"/>
      <c r="K417" s="49">
        <v>0</v>
      </c>
      <c r="L417" s="49"/>
      <c r="M417" s="49">
        <v>0</v>
      </c>
      <c r="N417" s="49"/>
      <c r="O417" s="49">
        <v>2387.91</v>
      </c>
      <c r="P417" s="49"/>
      <c r="Q417" s="49">
        <v>857.02</v>
      </c>
      <c r="R417" s="49"/>
      <c r="S417" s="49">
        <v>195.19</v>
      </c>
      <c r="T417" s="49"/>
      <c r="U417" s="49">
        <v>0</v>
      </c>
      <c r="V417" s="49"/>
      <c r="W417" s="49">
        <v>0</v>
      </c>
      <c r="X417" s="49"/>
      <c r="Y417" s="49">
        <v>0</v>
      </c>
      <c r="Z417" s="49"/>
      <c r="AA417" s="49">
        <v>0</v>
      </c>
      <c r="AB417" s="49"/>
      <c r="AC417" s="49">
        <v>0</v>
      </c>
      <c r="AD417" s="49"/>
      <c r="AE417" s="49">
        <v>0</v>
      </c>
      <c r="AF417" s="49"/>
      <c r="AG417" s="49">
        <v>0</v>
      </c>
      <c r="AH417" s="49"/>
      <c r="AI417" s="49">
        <f t="shared" si="21"/>
        <v>69784.560000000012</v>
      </c>
      <c r="AK417" s="6" t="str">
        <f>'Gen Rev'!A417</f>
        <v>New Bloomington</v>
      </c>
      <c r="AL417" s="6" t="str">
        <f t="shared" si="19"/>
        <v>New Bloomington</v>
      </c>
      <c r="AM417" s="6" t="b">
        <f t="shared" si="20"/>
        <v>1</v>
      </c>
    </row>
    <row r="418" spans="1:39" x14ac:dyDescent="0.2">
      <c r="A418" s="6" t="s">
        <v>490</v>
      </c>
      <c r="C418" s="6" t="s">
        <v>491</v>
      </c>
      <c r="E418" s="49">
        <v>584557</v>
      </c>
      <c r="F418" s="49"/>
      <c r="G418" s="49">
        <v>1539381.9</v>
      </c>
      <c r="H418" s="49"/>
      <c r="I418" s="49">
        <v>587226.52</v>
      </c>
      <c r="J418" s="49"/>
      <c r="K418" s="49">
        <v>0</v>
      </c>
      <c r="L418" s="49"/>
      <c r="M418" s="49">
        <v>24724.560000000001</v>
      </c>
      <c r="N418" s="49"/>
      <c r="O418" s="49">
        <v>65488.84</v>
      </c>
      <c r="P418" s="49"/>
      <c r="Q418" s="49">
        <v>252.78</v>
      </c>
      <c r="R418" s="49"/>
      <c r="S418" s="49">
        <v>88726.93</v>
      </c>
      <c r="T418" s="49"/>
      <c r="U418" s="49">
        <v>0</v>
      </c>
      <c r="V418" s="49"/>
      <c r="W418" s="49">
        <v>0</v>
      </c>
      <c r="X418" s="49"/>
      <c r="Y418" s="49">
        <v>200</v>
      </c>
      <c r="Z418" s="49"/>
      <c r="AA418" s="49">
        <v>447157.39</v>
      </c>
      <c r="AB418" s="49"/>
      <c r="AC418" s="49">
        <v>0</v>
      </c>
      <c r="AD418" s="49"/>
      <c r="AE418" s="49">
        <v>12009.07</v>
      </c>
      <c r="AF418" s="49"/>
      <c r="AG418" s="49">
        <v>10370.08</v>
      </c>
      <c r="AH418" s="49"/>
      <c r="AI418" s="49">
        <f t="shared" si="21"/>
        <v>3360095.07</v>
      </c>
      <c r="AK418" s="6" t="str">
        <f>'Gen Rev'!A418</f>
        <v>New Boston</v>
      </c>
      <c r="AL418" s="6" t="str">
        <f t="shared" si="19"/>
        <v>New Boston</v>
      </c>
      <c r="AM418" s="6" t="b">
        <f t="shared" si="20"/>
        <v>1</v>
      </c>
    </row>
    <row r="419" spans="1:39" x14ac:dyDescent="0.2">
      <c r="A419" s="6" t="s">
        <v>259</v>
      </c>
      <c r="C419" s="6" t="s">
        <v>257</v>
      </c>
      <c r="E419" s="49">
        <v>238658</v>
      </c>
      <c r="F419" s="49"/>
      <c r="G419" s="49">
        <v>2940501</v>
      </c>
      <c r="H419" s="49"/>
      <c r="I419" s="49">
        <v>610142</v>
      </c>
      <c r="J419" s="49"/>
      <c r="K419" s="49">
        <v>0</v>
      </c>
      <c r="L419" s="49"/>
      <c r="M419" s="49">
        <v>71744</v>
      </c>
      <c r="N419" s="49"/>
      <c r="O419" s="49">
        <v>13962</v>
      </c>
      <c r="P419" s="49"/>
      <c r="Q419" s="49">
        <v>21460</v>
      </c>
      <c r="R419" s="49"/>
      <c r="S419" s="49">
        <v>70515</v>
      </c>
      <c r="T419" s="49"/>
      <c r="U419" s="49">
        <v>0</v>
      </c>
      <c r="V419" s="49"/>
      <c r="W419" s="49">
        <v>263413</v>
      </c>
      <c r="X419" s="49"/>
      <c r="Y419" s="49">
        <v>3164</v>
      </c>
      <c r="Z419" s="49"/>
      <c r="AA419" s="49">
        <v>385000</v>
      </c>
      <c r="AB419" s="49"/>
      <c r="AC419" s="49">
        <v>0</v>
      </c>
      <c r="AD419" s="49"/>
      <c r="AE419" s="49">
        <v>100000</v>
      </c>
      <c r="AF419" s="49"/>
      <c r="AG419" s="49">
        <v>0</v>
      </c>
      <c r="AH419" s="49"/>
      <c r="AI419" s="49">
        <f t="shared" si="21"/>
        <v>4718559</v>
      </c>
      <c r="AK419" s="6" t="str">
        <f>'Gen Rev'!A419</f>
        <v>New Bremen</v>
      </c>
      <c r="AL419" s="6" t="str">
        <f t="shared" si="19"/>
        <v>New Bremen</v>
      </c>
      <c r="AM419" s="6" t="b">
        <f t="shared" si="20"/>
        <v>1</v>
      </c>
    </row>
    <row r="420" spans="1:39" x14ac:dyDescent="0.2">
      <c r="A420" s="6" t="s">
        <v>451</v>
      </c>
      <c r="C420" s="6" t="s">
        <v>450</v>
      </c>
      <c r="E420" s="49">
        <v>791537</v>
      </c>
      <c r="F420" s="49"/>
      <c r="G420" s="49">
        <v>0</v>
      </c>
      <c r="H420" s="49"/>
      <c r="I420" s="49">
        <v>318410</v>
      </c>
      <c r="J420" s="49"/>
      <c r="K420" s="49">
        <v>16810</v>
      </c>
      <c r="L420" s="49"/>
      <c r="M420" s="49">
        <v>353451</v>
      </c>
      <c r="N420" s="49"/>
      <c r="O420" s="49">
        <v>34779</v>
      </c>
      <c r="P420" s="49"/>
      <c r="Q420" s="49">
        <v>999</v>
      </c>
      <c r="R420" s="49"/>
      <c r="S420" s="49">
        <v>73941</v>
      </c>
      <c r="T420" s="49"/>
      <c r="U420" s="49">
        <v>0</v>
      </c>
      <c r="V420" s="49"/>
      <c r="W420" s="49">
        <v>198500</v>
      </c>
      <c r="X420" s="49"/>
      <c r="Y420" s="49">
        <v>0</v>
      </c>
      <c r="Z420" s="49"/>
      <c r="AA420" s="49">
        <v>213012</v>
      </c>
      <c r="AB420" s="49"/>
      <c r="AC420" s="49">
        <v>20000</v>
      </c>
      <c r="AD420" s="49"/>
      <c r="AE420" s="49">
        <v>0</v>
      </c>
      <c r="AF420" s="49"/>
      <c r="AG420" s="49">
        <v>0</v>
      </c>
      <c r="AH420" s="49"/>
      <c r="AI420" s="49">
        <f t="shared" si="21"/>
        <v>2021439</v>
      </c>
      <c r="AK420" s="6" t="str">
        <f>'Gen Rev'!A420</f>
        <v>New Concord</v>
      </c>
      <c r="AL420" s="6" t="str">
        <f t="shared" si="19"/>
        <v>New Concord</v>
      </c>
      <c r="AM420" s="6" t="b">
        <f t="shared" si="20"/>
        <v>1</v>
      </c>
    </row>
    <row r="421" spans="1:39" x14ac:dyDescent="0.2">
      <c r="A421" s="6" t="s">
        <v>174</v>
      </c>
      <c r="C421" s="6" t="s">
        <v>467</v>
      </c>
      <c r="E421" s="49">
        <v>84775.4</v>
      </c>
      <c r="F421" s="49"/>
      <c r="G421" s="49">
        <v>0</v>
      </c>
      <c r="H421" s="49"/>
      <c r="I421" s="49">
        <v>61181.06</v>
      </c>
      <c r="J421" s="49"/>
      <c r="K421" s="49">
        <v>11745.17</v>
      </c>
      <c r="L421" s="49"/>
      <c r="M421" s="49">
        <v>2126</v>
      </c>
      <c r="N421" s="49"/>
      <c r="O421" s="49">
        <v>1874.08</v>
      </c>
      <c r="P421" s="49"/>
      <c r="Q421" s="49">
        <v>1952.77</v>
      </c>
      <c r="R421" s="49"/>
      <c r="S421" s="49">
        <v>1906.4</v>
      </c>
      <c r="T421" s="49"/>
      <c r="U421" s="49">
        <v>0</v>
      </c>
      <c r="V421" s="49"/>
      <c r="W421" s="49">
        <v>0</v>
      </c>
      <c r="X421" s="49"/>
      <c r="Y421" s="49">
        <v>0</v>
      </c>
      <c r="Z421" s="49"/>
      <c r="AA421" s="49">
        <v>0</v>
      </c>
      <c r="AB421" s="49"/>
      <c r="AC421" s="49">
        <v>2200</v>
      </c>
      <c r="AD421" s="49"/>
      <c r="AE421" s="49">
        <v>0</v>
      </c>
      <c r="AF421" s="49"/>
      <c r="AG421" s="49">
        <v>74.19</v>
      </c>
      <c r="AH421" s="49"/>
      <c r="AI421" s="49">
        <f t="shared" si="21"/>
        <v>167835.06999999998</v>
      </c>
      <c r="AK421" s="6" t="str">
        <f>'Gen Rev'!A421</f>
        <v>New Holland</v>
      </c>
      <c r="AL421" s="6" t="str">
        <f t="shared" si="19"/>
        <v>New Holland</v>
      </c>
      <c r="AM421" s="6" t="b">
        <f t="shared" si="20"/>
        <v>1</v>
      </c>
    </row>
    <row r="422" spans="1:39" x14ac:dyDescent="0.2">
      <c r="A422" s="6" t="s">
        <v>12</v>
      </c>
      <c r="C422" s="6" t="s">
        <v>257</v>
      </c>
      <c r="E422" s="49">
        <v>90364.45</v>
      </c>
      <c r="F422" s="49"/>
      <c r="G422" s="49">
        <v>300570.06</v>
      </c>
      <c r="H422" s="49"/>
      <c r="I422" s="49">
        <v>94541.86</v>
      </c>
      <c r="J422" s="49"/>
      <c r="K422" s="49">
        <v>7898.8</v>
      </c>
      <c r="L422" s="49"/>
      <c r="M422" s="49">
        <v>88384.37</v>
      </c>
      <c r="N422" s="49"/>
      <c r="O422" s="49">
        <v>3204</v>
      </c>
      <c r="P422" s="49"/>
      <c r="Q422" s="49">
        <v>4266.8900000000003</v>
      </c>
      <c r="R422" s="49"/>
      <c r="S422" s="49">
        <v>26495.21</v>
      </c>
      <c r="T422" s="49"/>
      <c r="U422" s="49">
        <v>0</v>
      </c>
      <c r="V422" s="49"/>
      <c r="W422" s="49">
        <v>0</v>
      </c>
      <c r="X422" s="49"/>
      <c r="Y422" s="49">
        <v>0</v>
      </c>
      <c r="Z422" s="49"/>
      <c r="AA422" s="49">
        <v>95500.97</v>
      </c>
      <c r="AB422" s="49"/>
      <c r="AC422" s="49">
        <v>0</v>
      </c>
      <c r="AD422" s="49"/>
      <c r="AE422" s="49">
        <v>3712.08</v>
      </c>
      <c r="AF422" s="49"/>
      <c r="AG422" s="49">
        <v>0</v>
      </c>
      <c r="AH422" s="49"/>
      <c r="AI422" s="49">
        <f t="shared" si="21"/>
        <v>714938.69</v>
      </c>
      <c r="AK422" s="6" t="str">
        <f>'Gen Rev'!A422</f>
        <v>New Knoxville</v>
      </c>
      <c r="AL422" s="6" t="str">
        <f t="shared" si="19"/>
        <v>New Knoxville</v>
      </c>
      <c r="AM422" s="6" t="b">
        <f t="shared" si="20"/>
        <v>1</v>
      </c>
    </row>
    <row r="423" spans="1:39" x14ac:dyDescent="0.2">
      <c r="A423" s="6" t="s">
        <v>447</v>
      </c>
      <c r="C423" s="6" t="s">
        <v>446</v>
      </c>
      <c r="E423" s="49">
        <v>590605</v>
      </c>
      <c r="F423" s="49"/>
      <c r="G423" s="49">
        <v>747508</v>
      </c>
      <c r="H423" s="49"/>
      <c r="I423" s="49">
        <v>1190815</v>
      </c>
      <c r="J423" s="49"/>
      <c r="K423" s="49">
        <v>66146</v>
      </c>
      <c r="L423" s="49"/>
      <c r="M423" s="49">
        <v>243010</v>
      </c>
      <c r="N423" s="49"/>
      <c r="O423" s="49">
        <v>6941</v>
      </c>
      <c r="P423" s="49"/>
      <c r="Q423" s="49">
        <v>8373</v>
      </c>
      <c r="R423" s="49"/>
      <c r="S423" s="49">
        <v>278449</v>
      </c>
      <c r="T423" s="49"/>
      <c r="U423" s="49">
        <v>0</v>
      </c>
      <c r="V423" s="49"/>
      <c r="W423" s="49">
        <v>0</v>
      </c>
      <c r="X423" s="49"/>
      <c r="Y423" s="49">
        <v>0</v>
      </c>
      <c r="Z423" s="49"/>
      <c r="AA423" s="49">
        <v>866149</v>
      </c>
      <c r="AB423" s="49"/>
      <c r="AC423" s="49">
        <v>0</v>
      </c>
      <c r="AD423" s="49"/>
      <c r="AE423" s="49">
        <v>40572</v>
      </c>
      <c r="AF423" s="49"/>
      <c r="AG423" s="49">
        <v>0</v>
      </c>
      <c r="AH423" s="49"/>
      <c r="AI423" s="49">
        <f t="shared" si="21"/>
        <v>4038568</v>
      </c>
      <c r="AK423" s="6" t="str">
        <f>'Gen Rev'!A423</f>
        <v>New Lebanon</v>
      </c>
      <c r="AL423" s="6" t="str">
        <f t="shared" si="19"/>
        <v>New Lebanon</v>
      </c>
      <c r="AM423" s="6" t="b">
        <f t="shared" si="20"/>
        <v>1</v>
      </c>
    </row>
    <row r="424" spans="1:39" x14ac:dyDescent="0.2">
      <c r="A424" s="6" t="s">
        <v>834</v>
      </c>
      <c r="C424" s="6" t="s">
        <v>464</v>
      </c>
      <c r="E424" s="49">
        <v>179490.38</v>
      </c>
      <c r="F424" s="49"/>
      <c r="G424" s="49">
        <v>748862.89</v>
      </c>
      <c r="H424" s="49"/>
      <c r="I424" s="49">
        <v>290797.96000000002</v>
      </c>
      <c r="J424" s="49"/>
      <c r="K424" s="49">
        <v>0</v>
      </c>
      <c r="L424" s="49"/>
      <c r="M424" s="49">
        <v>552369.55000000005</v>
      </c>
      <c r="N424" s="49"/>
      <c r="O424" s="49">
        <v>63513.95</v>
      </c>
      <c r="P424" s="49"/>
      <c r="Q424" s="49">
        <v>2417.2199999999998</v>
      </c>
      <c r="R424" s="49"/>
      <c r="S424" s="49">
        <v>130718.27</v>
      </c>
      <c r="T424" s="49"/>
      <c r="U424" s="49">
        <v>0</v>
      </c>
      <c r="V424" s="49"/>
      <c r="W424" s="49">
        <v>0</v>
      </c>
      <c r="X424" s="49"/>
      <c r="Y424" s="49">
        <v>0</v>
      </c>
      <c r="Z424" s="49"/>
      <c r="AA424" s="49">
        <v>0</v>
      </c>
      <c r="AB424" s="49"/>
      <c r="AC424" s="49">
        <v>0</v>
      </c>
      <c r="AD424" s="49"/>
      <c r="AE424" s="49">
        <v>0</v>
      </c>
      <c r="AF424" s="49"/>
      <c r="AG424" s="49">
        <v>0</v>
      </c>
      <c r="AH424" s="49"/>
      <c r="AI424" s="49">
        <f t="shared" si="21"/>
        <v>1968170.22</v>
      </c>
      <c r="AK424" s="6" t="str">
        <f>'Gen Rev'!A424</f>
        <v>New Lexington</v>
      </c>
      <c r="AL424" s="6" t="str">
        <f t="shared" si="19"/>
        <v>New Lexington</v>
      </c>
      <c r="AM424" s="6" t="b">
        <f t="shared" si="20"/>
        <v>1</v>
      </c>
    </row>
    <row r="425" spans="1:39" x14ac:dyDescent="0.2">
      <c r="A425" s="6" t="s">
        <v>387</v>
      </c>
      <c r="C425" s="6" t="s">
        <v>386</v>
      </c>
      <c r="E425" s="49">
        <v>78985.240000000005</v>
      </c>
      <c r="F425" s="49"/>
      <c r="G425" s="49">
        <v>548419.26</v>
      </c>
      <c r="H425" s="49"/>
      <c r="I425" s="49">
        <v>230040.71</v>
      </c>
      <c r="J425" s="49"/>
      <c r="K425" s="49">
        <v>0</v>
      </c>
      <c r="L425" s="49"/>
      <c r="M425" s="49">
        <v>469818.86</v>
      </c>
      <c r="N425" s="49"/>
      <c r="O425" s="49">
        <v>7571.27</v>
      </c>
      <c r="P425" s="49"/>
      <c r="Q425" s="49">
        <v>8041.77</v>
      </c>
      <c r="R425" s="49"/>
      <c r="S425" s="49">
        <v>8488.0300000000007</v>
      </c>
      <c r="T425" s="49"/>
      <c r="U425" s="49">
        <v>0</v>
      </c>
      <c r="V425" s="49"/>
      <c r="W425" s="49">
        <v>0</v>
      </c>
      <c r="X425" s="49"/>
      <c r="Y425" s="49">
        <v>0</v>
      </c>
      <c r="Z425" s="49"/>
      <c r="AA425" s="49">
        <v>633737.6</v>
      </c>
      <c r="AB425" s="49"/>
      <c r="AC425" s="49">
        <v>128900</v>
      </c>
      <c r="AD425" s="49"/>
      <c r="AE425" s="49">
        <v>288690.59999999998</v>
      </c>
      <c r="AF425" s="49"/>
      <c r="AG425" s="49">
        <v>6681.72</v>
      </c>
      <c r="AH425" s="49"/>
      <c r="AI425" s="49">
        <f t="shared" si="21"/>
        <v>2409375.06</v>
      </c>
      <c r="AK425" s="6" t="str">
        <f>'Gen Rev'!A425</f>
        <v>New London</v>
      </c>
      <c r="AL425" s="6" t="str">
        <f t="shared" si="19"/>
        <v>New London</v>
      </c>
      <c r="AM425" s="6" t="b">
        <f t="shared" si="20"/>
        <v>1</v>
      </c>
    </row>
    <row r="426" spans="1:39" x14ac:dyDescent="0.2">
      <c r="A426" s="6" t="s">
        <v>807</v>
      </c>
      <c r="C426" s="6" t="s">
        <v>480</v>
      </c>
      <c r="E426" s="49">
        <v>152110.17000000001</v>
      </c>
      <c r="F426" s="49"/>
      <c r="G426" s="49">
        <v>112840.21</v>
      </c>
      <c r="H426" s="49"/>
      <c r="I426" s="49">
        <v>827532</v>
      </c>
      <c r="J426" s="49"/>
      <c r="K426" s="49">
        <v>19217.650000000001</v>
      </c>
      <c r="L426" s="49"/>
      <c r="M426" s="49">
        <v>38016.76</v>
      </c>
      <c r="N426" s="49"/>
      <c r="O426" s="49">
        <v>1409545.54</v>
      </c>
      <c r="P426" s="49"/>
      <c r="Q426" s="49">
        <v>959.83</v>
      </c>
      <c r="R426" s="49"/>
      <c r="S426" s="49">
        <v>10712.27</v>
      </c>
      <c r="T426" s="49"/>
      <c r="U426" s="49">
        <v>0</v>
      </c>
      <c r="V426" s="49"/>
      <c r="W426" s="49">
        <v>0</v>
      </c>
      <c r="X426" s="49"/>
      <c r="Y426" s="49">
        <v>70500</v>
      </c>
      <c r="Z426" s="49"/>
      <c r="AA426" s="49">
        <v>0</v>
      </c>
      <c r="AB426" s="49"/>
      <c r="AC426" s="49">
        <v>0</v>
      </c>
      <c r="AD426" s="49"/>
      <c r="AE426" s="49">
        <v>0</v>
      </c>
      <c r="AF426" s="49"/>
      <c r="AG426" s="49">
        <v>0</v>
      </c>
      <c r="AH426" s="49"/>
      <c r="AI426" s="49">
        <f t="shared" si="21"/>
        <v>2641434.4300000002</v>
      </c>
      <c r="AK426" s="6" t="str">
        <f>'Gen Rev'!A426</f>
        <v>New Miami</v>
      </c>
      <c r="AL426" s="6" t="str">
        <f t="shared" si="19"/>
        <v>New Miami</v>
      </c>
      <c r="AM426" s="6" t="b">
        <f t="shared" si="20"/>
        <v>1</v>
      </c>
    </row>
    <row r="427" spans="1:39" x14ac:dyDescent="0.2">
      <c r="A427" s="6" t="s">
        <v>852</v>
      </c>
      <c r="C427" s="6" t="s">
        <v>429</v>
      </c>
      <c r="E427" s="49">
        <v>390713.42</v>
      </c>
      <c r="F427" s="49"/>
      <c r="G427" s="49">
        <v>0</v>
      </c>
      <c r="H427" s="49"/>
      <c r="I427" s="49">
        <v>235492.73</v>
      </c>
      <c r="J427" s="49"/>
      <c r="K427" s="49">
        <v>10446.08</v>
      </c>
      <c r="L427" s="49"/>
      <c r="M427" s="49">
        <v>34388.75</v>
      </c>
      <c r="N427" s="49"/>
      <c r="O427" s="49">
        <v>42571.4</v>
      </c>
      <c r="P427" s="49"/>
      <c r="Q427" s="49">
        <v>89.59</v>
      </c>
      <c r="R427" s="49"/>
      <c r="S427" s="49">
        <v>106789.1</v>
      </c>
      <c r="T427" s="49"/>
      <c r="U427" s="49">
        <v>0</v>
      </c>
      <c r="V427" s="49"/>
      <c r="W427" s="49">
        <v>0</v>
      </c>
      <c r="X427" s="49"/>
      <c r="Y427" s="49">
        <v>0</v>
      </c>
      <c r="Z427" s="49"/>
      <c r="AA427" s="49">
        <v>75101.7</v>
      </c>
      <c r="AB427" s="49"/>
      <c r="AC427" s="49">
        <v>125000</v>
      </c>
      <c r="AD427" s="49"/>
      <c r="AE427" s="49">
        <v>8150</v>
      </c>
      <c r="AF427" s="49"/>
      <c r="AG427" s="49">
        <v>0</v>
      </c>
      <c r="AH427" s="49"/>
      <c r="AI427" s="49">
        <f t="shared" si="21"/>
        <v>1028742.7699999999</v>
      </c>
      <c r="AK427" s="6" t="str">
        <f>'Gen Rev'!A427</f>
        <v>New Middletown</v>
      </c>
      <c r="AL427" s="6" t="str">
        <f t="shared" si="19"/>
        <v>New Middletown</v>
      </c>
      <c r="AM427" s="6" t="b">
        <f t="shared" si="20"/>
        <v>1</v>
      </c>
    </row>
    <row r="428" spans="1:39" x14ac:dyDescent="0.2">
      <c r="A428" s="6" t="s">
        <v>473</v>
      </c>
      <c r="C428" s="6" t="s">
        <v>472</v>
      </c>
      <c r="E428" s="49">
        <v>99995.57</v>
      </c>
      <c r="F428" s="49"/>
      <c r="G428" s="49">
        <v>93863.75</v>
      </c>
      <c r="H428" s="49"/>
      <c r="I428" s="49">
        <v>409537.1</v>
      </c>
      <c r="J428" s="49"/>
      <c r="K428" s="49">
        <v>0</v>
      </c>
      <c r="L428" s="49"/>
      <c r="M428" s="49">
        <v>2405.9699999999998</v>
      </c>
      <c r="N428" s="49"/>
      <c r="O428" s="49">
        <v>7776.46</v>
      </c>
      <c r="P428" s="49"/>
      <c r="Q428" s="49">
        <v>366.37</v>
      </c>
      <c r="R428" s="49"/>
      <c r="S428" s="49">
        <v>4175.8100000000004</v>
      </c>
      <c r="T428" s="49"/>
      <c r="U428" s="49">
        <v>0</v>
      </c>
      <c r="V428" s="49"/>
      <c r="W428" s="49">
        <v>0</v>
      </c>
      <c r="X428" s="49"/>
      <c r="Y428" s="49">
        <v>0</v>
      </c>
      <c r="Z428" s="49"/>
      <c r="AA428" s="49">
        <v>130064.11</v>
      </c>
      <c r="AB428" s="49"/>
      <c r="AC428" s="49">
        <v>0</v>
      </c>
      <c r="AD428" s="49"/>
      <c r="AE428" s="49">
        <v>67830.570000000007</v>
      </c>
      <c r="AF428" s="49"/>
      <c r="AG428" s="49">
        <v>0</v>
      </c>
      <c r="AH428" s="49"/>
      <c r="AI428" s="49">
        <f t="shared" si="21"/>
        <v>816015.71</v>
      </c>
      <c r="AK428" s="6" t="str">
        <f>'Gen Rev'!A428</f>
        <v>New Paris</v>
      </c>
      <c r="AL428" s="6" t="str">
        <f t="shared" si="19"/>
        <v>New Paris</v>
      </c>
      <c r="AM428" s="6" t="b">
        <f t="shared" si="20"/>
        <v>1</v>
      </c>
    </row>
    <row r="429" spans="1:39" x14ac:dyDescent="0.2">
      <c r="A429" s="6" t="s">
        <v>37</v>
      </c>
      <c r="C429" s="6" t="s">
        <v>277</v>
      </c>
      <c r="E429" s="49">
        <v>901644.69</v>
      </c>
      <c r="F429" s="49"/>
      <c r="G429" s="49">
        <v>460362.88</v>
      </c>
      <c r="H429" s="49"/>
      <c r="I429" s="49">
        <v>513284.87</v>
      </c>
      <c r="J429" s="49"/>
      <c r="K429" s="49">
        <v>14995.26</v>
      </c>
      <c r="L429" s="49"/>
      <c r="M429" s="49">
        <v>28648.66</v>
      </c>
      <c r="N429" s="49"/>
      <c r="O429" s="49">
        <v>54694.27</v>
      </c>
      <c r="P429" s="49"/>
      <c r="Q429" s="49">
        <v>4335.84</v>
      </c>
      <c r="R429" s="49"/>
      <c r="S429" s="49">
        <v>202935.88</v>
      </c>
      <c r="T429" s="49"/>
      <c r="U429" s="49">
        <v>0</v>
      </c>
      <c r="V429" s="49"/>
      <c r="W429" s="49">
        <v>0</v>
      </c>
      <c r="X429" s="49"/>
      <c r="Y429" s="49">
        <v>0</v>
      </c>
      <c r="Z429" s="49"/>
      <c r="AA429" s="49">
        <v>210667.78</v>
      </c>
      <c r="AB429" s="49"/>
      <c r="AC429" s="49">
        <v>40653.46</v>
      </c>
      <c r="AD429" s="49"/>
      <c r="AE429" s="49">
        <v>0</v>
      </c>
      <c r="AF429" s="49"/>
      <c r="AG429" s="49">
        <v>0</v>
      </c>
      <c r="AH429" s="49"/>
      <c r="AI429" s="49">
        <f t="shared" si="21"/>
        <v>2432223.59</v>
      </c>
      <c r="AK429" s="6" t="str">
        <f>'Gen Rev'!A429</f>
        <v>New Richmond</v>
      </c>
      <c r="AL429" s="6" t="str">
        <f t="shared" si="19"/>
        <v>New Richmond</v>
      </c>
      <c r="AM429" s="6" t="b">
        <f t="shared" si="20"/>
        <v>1</v>
      </c>
    </row>
    <row r="430" spans="1:39" x14ac:dyDescent="0.2">
      <c r="A430" s="6" t="s">
        <v>205</v>
      </c>
      <c r="C430" s="6" t="s">
        <v>494</v>
      </c>
      <c r="E430" s="49">
        <v>11124.71</v>
      </c>
      <c r="F430" s="49"/>
      <c r="G430" s="49">
        <v>73608.539999999994</v>
      </c>
      <c r="H430" s="49"/>
      <c r="I430" s="49">
        <v>42607.7</v>
      </c>
      <c r="J430" s="49"/>
      <c r="K430" s="49">
        <v>0</v>
      </c>
      <c r="L430" s="49"/>
      <c r="M430" s="49">
        <v>231</v>
      </c>
      <c r="N430" s="49"/>
      <c r="O430" s="49">
        <v>1062.18</v>
      </c>
      <c r="P430" s="49"/>
      <c r="Q430" s="49">
        <v>196.18</v>
      </c>
      <c r="R430" s="49"/>
      <c r="S430" s="49">
        <v>497.03</v>
      </c>
      <c r="T430" s="49"/>
      <c r="U430" s="49">
        <v>0</v>
      </c>
      <c r="V430" s="49"/>
      <c r="W430" s="49">
        <v>0</v>
      </c>
      <c r="X430" s="49"/>
      <c r="Y430" s="49">
        <v>0</v>
      </c>
      <c r="Z430" s="49"/>
      <c r="AA430" s="49">
        <v>0</v>
      </c>
      <c r="AB430" s="49"/>
      <c r="AC430" s="49">
        <v>0</v>
      </c>
      <c r="AD430" s="49"/>
      <c r="AE430" s="49">
        <v>0</v>
      </c>
      <c r="AF430" s="49"/>
      <c r="AG430" s="49">
        <v>0</v>
      </c>
      <c r="AH430" s="49"/>
      <c r="AI430" s="49">
        <f t="shared" si="21"/>
        <v>129327.33999999998</v>
      </c>
      <c r="AK430" s="6" t="str">
        <f>'Gen Rev'!A430</f>
        <v>New Riegel</v>
      </c>
      <c r="AL430" s="6" t="str">
        <f t="shared" si="19"/>
        <v>New Riegel</v>
      </c>
      <c r="AM430" s="6" t="b">
        <f t="shared" si="20"/>
        <v>1</v>
      </c>
    </row>
    <row r="431" spans="1:39" x14ac:dyDescent="0.2">
      <c r="A431" s="6" t="s">
        <v>649</v>
      </c>
      <c r="C431" s="6" t="s">
        <v>464</v>
      </c>
      <c r="E431" s="49">
        <v>75555.63</v>
      </c>
      <c r="F431" s="49"/>
      <c r="G431" s="49">
        <v>0</v>
      </c>
      <c r="H431" s="49"/>
      <c r="I431" s="49">
        <v>77120.03</v>
      </c>
      <c r="J431" s="49"/>
      <c r="K431" s="49">
        <v>0</v>
      </c>
      <c r="L431" s="49"/>
      <c r="M431" s="49">
        <v>36705.21</v>
      </c>
      <c r="N431" s="49"/>
      <c r="O431" s="49">
        <v>1602</v>
      </c>
      <c r="P431" s="49"/>
      <c r="Q431" s="49">
        <v>0</v>
      </c>
      <c r="R431" s="49"/>
      <c r="S431" s="49">
        <v>7694.23</v>
      </c>
      <c r="T431" s="49"/>
      <c r="U431" s="49">
        <v>0</v>
      </c>
      <c r="V431" s="49"/>
      <c r="W431" s="49">
        <v>0</v>
      </c>
      <c r="X431" s="49"/>
      <c r="Y431" s="49">
        <v>0</v>
      </c>
      <c r="Z431" s="49"/>
      <c r="AA431" s="49">
        <v>25391.45</v>
      </c>
      <c r="AB431" s="49"/>
      <c r="AC431" s="49">
        <v>0</v>
      </c>
      <c r="AD431" s="49"/>
      <c r="AE431" s="49">
        <v>0</v>
      </c>
      <c r="AF431" s="49"/>
      <c r="AG431" s="49">
        <v>0</v>
      </c>
      <c r="AH431" s="49"/>
      <c r="AI431" s="49">
        <f t="shared" si="21"/>
        <v>224068.55000000002</v>
      </c>
      <c r="AK431" s="6" t="str">
        <f>'Gen Rev'!A431</f>
        <v>New Straitsville</v>
      </c>
      <c r="AL431" s="6" t="str">
        <f t="shared" si="19"/>
        <v>New Straitsville</v>
      </c>
      <c r="AM431" s="6" t="b">
        <f t="shared" si="20"/>
        <v>1</v>
      </c>
    </row>
    <row r="432" spans="1:39" x14ac:dyDescent="0.2">
      <c r="A432" s="6" t="s">
        <v>40</v>
      </c>
      <c r="C432" s="6" t="s">
        <v>280</v>
      </c>
      <c r="E432" s="49">
        <v>58775.13</v>
      </c>
      <c r="F432" s="49"/>
      <c r="G432" s="49">
        <v>0</v>
      </c>
      <c r="H432" s="49"/>
      <c r="I432" s="49">
        <v>83101.570000000007</v>
      </c>
      <c r="J432" s="49"/>
      <c r="K432" s="49">
        <v>441999.29</v>
      </c>
      <c r="L432" s="49"/>
      <c r="M432" s="49">
        <v>0</v>
      </c>
      <c r="N432" s="49"/>
      <c r="O432" s="49">
        <v>7104</v>
      </c>
      <c r="P432" s="49"/>
      <c r="Q432" s="49">
        <v>0</v>
      </c>
      <c r="R432" s="49"/>
      <c r="S432" s="49">
        <v>14516.98</v>
      </c>
      <c r="T432" s="49"/>
      <c r="U432" s="49">
        <v>0</v>
      </c>
      <c r="V432" s="49"/>
      <c r="W432" s="49">
        <v>0</v>
      </c>
      <c r="X432" s="49"/>
      <c r="Y432" s="49">
        <v>0</v>
      </c>
      <c r="Z432" s="49"/>
      <c r="AA432" s="49">
        <v>0</v>
      </c>
      <c r="AB432" s="49"/>
      <c r="AC432" s="49">
        <v>28000</v>
      </c>
      <c r="AD432" s="49"/>
      <c r="AE432" s="49">
        <v>0</v>
      </c>
      <c r="AF432" s="49"/>
      <c r="AG432" s="49">
        <v>0</v>
      </c>
      <c r="AH432" s="49"/>
      <c r="AI432" s="49">
        <f t="shared" si="21"/>
        <v>633496.97</v>
      </c>
      <c r="AK432" s="6" t="str">
        <f>'Gen Rev'!A432</f>
        <v>New Vienna</v>
      </c>
      <c r="AL432" s="6" t="str">
        <f t="shared" si="19"/>
        <v>New Vienna</v>
      </c>
      <c r="AM432" s="6" t="b">
        <f t="shared" si="20"/>
        <v>1</v>
      </c>
    </row>
    <row r="433" spans="1:39" x14ac:dyDescent="0.2">
      <c r="A433" s="6" t="s">
        <v>290</v>
      </c>
      <c r="C433" s="6" t="s">
        <v>289</v>
      </c>
      <c r="E433" s="49">
        <v>68772.41</v>
      </c>
      <c r="F433" s="49"/>
      <c r="G433" s="49">
        <v>303903.59000000003</v>
      </c>
      <c r="H433" s="49"/>
      <c r="I433" s="49">
        <v>69283.81</v>
      </c>
      <c r="J433" s="49"/>
      <c r="K433" s="49">
        <v>5297.71</v>
      </c>
      <c r="L433" s="49"/>
      <c r="M433" s="49">
        <v>35642.400000000001</v>
      </c>
      <c r="N433" s="49"/>
      <c r="O433" s="49">
        <v>10861.26</v>
      </c>
      <c r="P433" s="49"/>
      <c r="Q433" s="49">
        <v>1737.25</v>
      </c>
      <c r="R433" s="49"/>
      <c r="S433" s="49">
        <v>47696.92</v>
      </c>
      <c r="T433" s="49"/>
      <c r="U433" s="49">
        <v>0</v>
      </c>
      <c r="V433" s="49"/>
      <c r="W433" s="49">
        <v>0</v>
      </c>
      <c r="X433" s="49"/>
      <c r="Y433" s="49">
        <v>0</v>
      </c>
      <c r="Z433" s="49"/>
      <c r="AA433" s="49">
        <v>236507.45</v>
      </c>
      <c r="AB433" s="49"/>
      <c r="AC433" s="49">
        <v>0</v>
      </c>
      <c r="AD433" s="49"/>
      <c r="AE433" s="49">
        <v>0</v>
      </c>
      <c r="AF433" s="49"/>
      <c r="AG433" s="49">
        <v>0</v>
      </c>
      <c r="AH433" s="49"/>
      <c r="AI433" s="49">
        <f t="shared" si="21"/>
        <v>779702.8</v>
      </c>
      <c r="AK433" s="6" t="str">
        <f>'Gen Rev'!A433</f>
        <v>New Washington</v>
      </c>
      <c r="AL433" s="6" t="str">
        <f t="shared" si="19"/>
        <v>New Washington</v>
      </c>
      <c r="AM433" s="6" t="b">
        <f t="shared" si="20"/>
        <v>1</v>
      </c>
    </row>
    <row r="434" spans="1:39" x14ac:dyDescent="0.2">
      <c r="A434" s="6" t="s">
        <v>724</v>
      </c>
      <c r="C434" s="6" t="s">
        <v>283</v>
      </c>
      <c r="E434" s="49">
        <v>92515.16</v>
      </c>
      <c r="F434" s="49"/>
      <c r="G434" s="49">
        <v>0</v>
      </c>
      <c r="H434" s="49"/>
      <c r="I434" s="49">
        <v>152218.01</v>
      </c>
      <c r="J434" s="49"/>
      <c r="K434" s="49">
        <v>0</v>
      </c>
      <c r="L434" s="49"/>
      <c r="M434" s="49">
        <v>61000</v>
      </c>
      <c r="N434" s="49"/>
      <c r="O434" s="49">
        <v>63996.38</v>
      </c>
      <c r="P434" s="49"/>
      <c r="Q434" s="49">
        <v>1958.23</v>
      </c>
      <c r="R434" s="49"/>
      <c r="S434" s="49">
        <v>3441.19</v>
      </c>
      <c r="T434" s="49"/>
      <c r="U434" s="49">
        <v>0</v>
      </c>
      <c r="V434" s="49"/>
      <c r="W434" s="49">
        <v>0</v>
      </c>
      <c r="X434" s="49"/>
      <c r="Y434" s="49">
        <v>0</v>
      </c>
      <c r="Z434" s="49"/>
      <c r="AA434" s="49">
        <v>158677.91</v>
      </c>
      <c r="AB434" s="49"/>
      <c r="AC434" s="49">
        <v>10000</v>
      </c>
      <c r="AD434" s="49"/>
      <c r="AE434" s="49">
        <v>101526.86</v>
      </c>
      <c r="AF434" s="49"/>
      <c r="AG434" s="49">
        <v>0</v>
      </c>
      <c r="AH434" s="49"/>
      <c r="AI434" s="49">
        <f t="shared" si="21"/>
        <v>645333.74</v>
      </c>
      <c r="AK434" s="6" t="str">
        <f>'Gen Rev'!A434</f>
        <v>New Waterford</v>
      </c>
      <c r="AL434" s="6" t="str">
        <f t="shared" si="19"/>
        <v>New Waterford</v>
      </c>
      <c r="AM434" s="6" t="b">
        <f t="shared" si="20"/>
        <v>1</v>
      </c>
    </row>
    <row r="435" spans="1:39" x14ac:dyDescent="0.2">
      <c r="A435" s="18" t="s">
        <v>310</v>
      </c>
      <c r="B435" s="18"/>
      <c r="C435" s="18" t="s">
        <v>306</v>
      </c>
      <c r="D435" s="18"/>
      <c r="E435" s="49">
        <v>6188</v>
      </c>
      <c r="F435" s="49"/>
      <c r="G435" s="49">
        <v>0</v>
      </c>
      <c r="H435" s="49"/>
      <c r="I435" s="49">
        <v>27149</v>
      </c>
      <c r="J435" s="49"/>
      <c r="K435" s="49">
        <v>26595</v>
      </c>
      <c r="L435" s="49"/>
      <c r="M435" s="49">
        <v>0</v>
      </c>
      <c r="N435" s="49"/>
      <c r="O435" s="49">
        <v>0</v>
      </c>
      <c r="P435" s="49"/>
      <c r="Q435" s="49">
        <v>0</v>
      </c>
      <c r="R435" s="49"/>
      <c r="S435" s="49">
        <v>1757</v>
      </c>
      <c r="T435" s="49"/>
      <c r="U435" s="49">
        <v>0</v>
      </c>
      <c r="V435" s="49"/>
      <c r="W435" s="49">
        <v>0</v>
      </c>
      <c r="X435" s="49"/>
      <c r="Y435" s="49">
        <v>0</v>
      </c>
      <c r="Z435" s="49"/>
      <c r="AA435" s="49">
        <v>0</v>
      </c>
      <c r="AB435" s="49"/>
      <c r="AC435" s="49">
        <v>0</v>
      </c>
      <c r="AD435" s="49"/>
      <c r="AE435" s="49">
        <v>0</v>
      </c>
      <c r="AF435" s="49"/>
      <c r="AG435" s="49">
        <v>0</v>
      </c>
      <c r="AH435" s="49"/>
      <c r="AI435" s="49">
        <f t="shared" si="21"/>
        <v>61689</v>
      </c>
      <c r="AK435" s="6" t="str">
        <f>'Gen Rev'!A435</f>
        <v>New Weston</v>
      </c>
      <c r="AL435" s="6" t="str">
        <f t="shared" si="19"/>
        <v>New Weston</v>
      </c>
      <c r="AM435" s="6" t="b">
        <f t="shared" si="20"/>
        <v>1</v>
      </c>
    </row>
    <row r="436" spans="1:39" x14ac:dyDescent="0.2">
      <c r="A436" s="6" t="s">
        <v>301</v>
      </c>
      <c r="C436" s="6" t="s">
        <v>293</v>
      </c>
      <c r="E436" s="49">
        <v>473978</v>
      </c>
      <c r="F436" s="49"/>
      <c r="G436" s="49">
        <v>626414</v>
      </c>
      <c r="H436" s="49"/>
      <c r="I436" s="49">
        <v>745913</v>
      </c>
      <c r="J436" s="49"/>
      <c r="K436" s="49">
        <v>0</v>
      </c>
      <c r="L436" s="49"/>
      <c r="M436" s="49">
        <v>205706</v>
      </c>
      <c r="N436" s="49"/>
      <c r="O436" s="49">
        <v>733525</v>
      </c>
      <c r="P436" s="49"/>
      <c r="Q436" s="49">
        <v>82</v>
      </c>
      <c r="R436" s="49"/>
      <c r="S436" s="49">
        <v>169469</v>
      </c>
      <c r="T436" s="49"/>
      <c r="U436" s="49">
        <v>0</v>
      </c>
      <c r="V436" s="49"/>
      <c r="W436" s="49">
        <v>350000</v>
      </c>
      <c r="X436" s="49"/>
      <c r="Y436" s="49">
        <v>475350</v>
      </c>
      <c r="Z436" s="49"/>
      <c r="AA436" s="49">
        <v>126223</v>
      </c>
      <c r="AB436" s="49"/>
      <c r="AC436" s="49">
        <v>0</v>
      </c>
      <c r="AD436" s="49"/>
      <c r="AE436" s="49">
        <v>0</v>
      </c>
      <c r="AF436" s="49"/>
      <c r="AG436" s="49">
        <v>0</v>
      </c>
      <c r="AH436" s="49"/>
      <c r="AI436" s="49">
        <f t="shared" si="21"/>
        <v>3906660</v>
      </c>
      <c r="AK436" s="6" t="str">
        <f>'Gen Rev'!A436</f>
        <v>Newburgh Heights</v>
      </c>
      <c r="AL436" s="6" t="str">
        <f t="shared" si="19"/>
        <v>Newburgh Heights</v>
      </c>
      <c r="AM436" s="6" t="b">
        <f t="shared" si="20"/>
        <v>1</v>
      </c>
    </row>
    <row r="437" spans="1:39" x14ac:dyDescent="0.2">
      <c r="A437" s="6" t="s">
        <v>525</v>
      </c>
      <c r="C437" s="6" t="s">
        <v>521</v>
      </c>
      <c r="E437" s="49">
        <v>171646</v>
      </c>
      <c r="F437" s="49"/>
      <c r="G437" s="49">
        <v>1130224</v>
      </c>
      <c r="H437" s="49"/>
      <c r="I437" s="49">
        <v>527470</v>
      </c>
      <c r="J437" s="49"/>
      <c r="K437" s="49">
        <v>3404</v>
      </c>
      <c r="L437" s="49"/>
      <c r="M437" s="49">
        <v>42908</v>
      </c>
      <c r="N437" s="49"/>
      <c r="O437" s="49">
        <v>30514</v>
      </c>
      <c r="P437" s="49"/>
      <c r="Q437" s="49">
        <v>800</v>
      </c>
      <c r="R437" s="49"/>
      <c r="S437" s="49">
        <f>36027+61026</f>
        <v>97053</v>
      </c>
      <c r="T437" s="49"/>
      <c r="U437" s="49">
        <v>0</v>
      </c>
      <c r="V437" s="49"/>
      <c r="W437" s="49">
        <v>0</v>
      </c>
      <c r="X437" s="49"/>
      <c r="Y437" s="49">
        <v>0</v>
      </c>
      <c r="Z437" s="49"/>
      <c r="AA437" s="49">
        <v>0</v>
      </c>
      <c r="AB437" s="49"/>
      <c r="AC437" s="49">
        <v>0</v>
      </c>
      <c r="AD437" s="49"/>
      <c r="AE437" s="49">
        <v>0</v>
      </c>
      <c r="AF437" s="49"/>
      <c r="AG437" s="49">
        <v>0</v>
      </c>
      <c r="AH437" s="49"/>
      <c r="AI437" s="49">
        <f t="shared" si="21"/>
        <v>2004019</v>
      </c>
      <c r="AK437" s="6" t="str">
        <f>'Gen Rev'!A437</f>
        <v>Newcomerstown</v>
      </c>
      <c r="AL437" s="6" t="str">
        <f t="shared" si="19"/>
        <v>Newcomerstown</v>
      </c>
      <c r="AM437" s="6" t="b">
        <f t="shared" si="20"/>
        <v>1</v>
      </c>
    </row>
    <row r="438" spans="1:39" x14ac:dyDescent="0.2">
      <c r="A438" s="6" t="s">
        <v>817</v>
      </c>
      <c r="C438" s="6" t="s">
        <v>695</v>
      </c>
      <c r="E438" s="49">
        <v>1446982</v>
      </c>
      <c r="F438" s="49"/>
      <c r="G438" s="49">
        <v>0</v>
      </c>
      <c r="H438" s="49"/>
      <c r="I438" s="49">
        <v>455068</v>
      </c>
      <c r="J438" s="49"/>
      <c r="K438" s="49">
        <v>0</v>
      </c>
      <c r="L438" s="49"/>
      <c r="M438" s="49">
        <v>44085</v>
      </c>
      <c r="N438" s="49"/>
      <c r="O438" s="49">
        <v>776069</v>
      </c>
      <c r="P438" s="49"/>
      <c r="Q438" s="49">
        <v>236084</v>
      </c>
      <c r="R438" s="49"/>
      <c r="S438" s="49">
        <v>77212</v>
      </c>
      <c r="T438" s="49"/>
      <c r="U438" s="49">
        <v>0</v>
      </c>
      <c r="V438" s="49"/>
      <c r="W438" s="49">
        <v>0</v>
      </c>
      <c r="X438" s="49"/>
      <c r="Y438" s="49">
        <v>0</v>
      </c>
      <c r="Z438" s="49"/>
      <c r="AA438" s="49">
        <v>933872</v>
      </c>
      <c r="AB438" s="49"/>
      <c r="AC438" s="49">
        <v>5300</v>
      </c>
      <c r="AD438" s="49"/>
      <c r="AE438" s="49">
        <v>600334</v>
      </c>
      <c r="AF438" s="49"/>
      <c r="AG438" s="49">
        <v>0</v>
      </c>
      <c r="AH438" s="49"/>
      <c r="AI438" s="49">
        <f t="shared" si="21"/>
        <v>4575006</v>
      </c>
      <c r="AK438" s="6" t="str">
        <f>'Gen Rev'!A438</f>
        <v>Newton Falls</v>
      </c>
      <c r="AL438" s="6" t="str">
        <f t="shared" si="19"/>
        <v>Newton Falls</v>
      </c>
      <c r="AM438" s="6" t="b">
        <f t="shared" si="20"/>
        <v>1</v>
      </c>
    </row>
    <row r="439" spans="1:39" x14ac:dyDescent="0.2">
      <c r="A439" s="6" t="s">
        <v>91</v>
      </c>
      <c r="C439" s="6" t="s">
        <v>351</v>
      </c>
      <c r="E439" s="49">
        <v>211782.94</v>
      </c>
      <c r="F439" s="49"/>
      <c r="G439" s="49">
        <v>1524148.98</v>
      </c>
      <c r="H439" s="49"/>
      <c r="I439" s="49">
        <v>433133.98</v>
      </c>
      <c r="J439" s="49"/>
      <c r="K439" s="49">
        <v>0</v>
      </c>
      <c r="L439" s="49"/>
      <c r="M439" s="49">
        <v>29409.75</v>
      </c>
      <c r="N439" s="49"/>
      <c r="O439" s="49">
        <v>146494.41</v>
      </c>
      <c r="P439" s="49"/>
      <c r="Q439" s="49">
        <v>916.41</v>
      </c>
      <c r="R439" s="49"/>
      <c r="S439" s="49">
        <v>68472.3</v>
      </c>
      <c r="T439" s="49"/>
      <c r="U439" s="49">
        <v>0</v>
      </c>
      <c r="V439" s="49"/>
      <c r="W439" s="49">
        <v>0</v>
      </c>
      <c r="X439" s="49"/>
      <c r="Y439" s="49">
        <v>59412</v>
      </c>
      <c r="Z439" s="49"/>
      <c r="AA439" s="49">
        <v>397013.09</v>
      </c>
      <c r="AB439" s="49"/>
      <c r="AC439" s="49">
        <v>382406.76</v>
      </c>
      <c r="AD439" s="49"/>
      <c r="AE439" s="49">
        <v>0</v>
      </c>
      <c r="AF439" s="49"/>
      <c r="AG439" s="49">
        <v>0</v>
      </c>
      <c r="AH439" s="49"/>
      <c r="AI439" s="49">
        <f t="shared" si="21"/>
        <v>3253190.62</v>
      </c>
      <c r="AK439" s="6" t="str">
        <f>'Gen Rev'!A439</f>
        <v>Newtown</v>
      </c>
      <c r="AL439" s="6" t="str">
        <f t="shared" si="19"/>
        <v>Newtown</v>
      </c>
      <c r="AM439" s="6" t="b">
        <f t="shared" si="20"/>
        <v>1</v>
      </c>
    </row>
    <row r="440" spans="1:39" x14ac:dyDescent="0.2">
      <c r="A440" s="6" t="s">
        <v>50</v>
      </c>
      <c r="C440" s="6" t="s">
        <v>319</v>
      </c>
      <c r="E440" s="49">
        <v>14103.88</v>
      </c>
      <c r="F440" s="49"/>
      <c r="G440" s="49">
        <v>0</v>
      </c>
      <c r="H440" s="49"/>
      <c r="I440" s="49">
        <v>56239.82</v>
      </c>
      <c r="J440" s="49"/>
      <c r="K440" s="49">
        <v>4146.07</v>
      </c>
      <c r="L440" s="49"/>
      <c r="M440" s="49">
        <v>0</v>
      </c>
      <c r="N440" s="49"/>
      <c r="O440" s="49">
        <v>0</v>
      </c>
      <c r="P440" s="49"/>
      <c r="Q440" s="49">
        <v>232.82</v>
      </c>
      <c r="R440" s="49"/>
      <c r="S440" s="49">
        <v>13678.86</v>
      </c>
      <c r="T440" s="49"/>
      <c r="U440" s="49">
        <v>0</v>
      </c>
      <c r="V440" s="49"/>
      <c r="W440" s="49">
        <v>0</v>
      </c>
      <c r="X440" s="49"/>
      <c r="Y440" s="49">
        <v>0</v>
      </c>
      <c r="Z440" s="49"/>
      <c r="AA440" s="49">
        <v>0</v>
      </c>
      <c r="AB440" s="49"/>
      <c r="AC440" s="49">
        <v>0</v>
      </c>
      <c r="AD440" s="49"/>
      <c r="AE440" s="49">
        <v>7.49</v>
      </c>
      <c r="AF440" s="49"/>
      <c r="AG440" s="49">
        <v>0</v>
      </c>
      <c r="AH440" s="49"/>
      <c r="AI440" s="49">
        <f t="shared" si="21"/>
        <v>88408.94</v>
      </c>
      <c r="AK440" s="6" t="str">
        <f>'Gen Rev'!A440</f>
        <v>Ney</v>
      </c>
      <c r="AL440" s="6" t="str">
        <f t="shared" si="19"/>
        <v>Ney</v>
      </c>
      <c r="AM440" s="6" t="b">
        <f t="shared" si="20"/>
        <v>1</v>
      </c>
    </row>
    <row r="441" spans="1:39" x14ac:dyDescent="0.2">
      <c r="A441" s="6" t="s">
        <v>562</v>
      </c>
      <c r="C441" s="6" t="s">
        <v>558</v>
      </c>
      <c r="E441" s="49">
        <v>359829</v>
      </c>
      <c r="F441" s="49"/>
      <c r="G441" s="49">
        <v>770941</v>
      </c>
      <c r="H441" s="49"/>
      <c r="I441" s="49">
        <v>341349</v>
      </c>
      <c r="J441" s="49"/>
      <c r="K441" s="49">
        <v>139643</v>
      </c>
      <c r="L441" s="49"/>
      <c r="M441" s="49">
        <v>97806</v>
      </c>
      <c r="N441" s="49"/>
      <c r="O441" s="49">
        <v>47523</v>
      </c>
      <c r="P441" s="49"/>
      <c r="Q441" s="49">
        <v>184</v>
      </c>
      <c r="R441" s="49"/>
      <c r="S441" s="49">
        <v>51793</v>
      </c>
      <c r="T441" s="49"/>
      <c r="U441" s="49">
        <v>0</v>
      </c>
      <c r="V441" s="49"/>
      <c r="W441" s="49">
        <v>440000</v>
      </c>
      <c r="X441" s="49"/>
      <c r="Y441" s="49">
        <v>0</v>
      </c>
      <c r="Z441" s="49"/>
      <c r="AA441" s="49">
        <v>689461</v>
      </c>
      <c r="AB441" s="49"/>
      <c r="AC441" s="49">
        <v>0</v>
      </c>
      <c r="AD441" s="49"/>
      <c r="AE441" s="49">
        <v>0</v>
      </c>
      <c r="AF441" s="49"/>
      <c r="AG441" s="49">
        <v>0</v>
      </c>
      <c r="AH441" s="49"/>
      <c r="AI441" s="49">
        <f t="shared" si="21"/>
        <v>2938529</v>
      </c>
      <c r="AK441" s="6" t="str">
        <f>'Gen Rev'!A441</f>
        <v>North Baltimore</v>
      </c>
      <c r="AL441" s="6" t="str">
        <f t="shared" si="19"/>
        <v>North Baltimore</v>
      </c>
      <c r="AM441" s="6" t="b">
        <f t="shared" si="20"/>
        <v>1</v>
      </c>
    </row>
    <row r="442" spans="1:39" x14ac:dyDescent="0.2">
      <c r="A442" s="6" t="s">
        <v>92</v>
      </c>
      <c r="C442" s="6" t="s">
        <v>351</v>
      </c>
      <c r="E442" s="49">
        <v>352961.7</v>
      </c>
      <c r="F442" s="49"/>
      <c r="G442" s="49">
        <v>0</v>
      </c>
      <c r="H442" s="49"/>
      <c r="I442" s="49">
        <v>96885.35</v>
      </c>
      <c r="J442" s="49"/>
      <c r="K442" s="49">
        <v>82000</v>
      </c>
      <c r="L442" s="49"/>
      <c r="M442" s="49">
        <v>2692.19</v>
      </c>
      <c r="N442" s="49"/>
      <c r="O442" s="49">
        <v>24196.73</v>
      </c>
      <c r="P442" s="49"/>
      <c r="Q442" s="49">
        <v>11.68</v>
      </c>
      <c r="R442" s="49"/>
      <c r="S442" s="49">
        <v>3084.06</v>
      </c>
      <c r="T442" s="49"/>
      <c r="U442" s="49">
        <v>0</v>
      </c>
      <c r="V442" s="49"/>
      <c r="W442" s="49">
        <v>0</v>
      </c>
      <c r="X442" s="49"/>
      <c r="Y442" s="49">
        <v>0</v>
      </c>
      <c r="Z442" s="49"/>
      <c r="AA442" s="49">
        <v>89389.3</v>
      </c>
      <c r="AB442" s="49"/>
      <c r="AC442" s="49">
        <v>0</v>
      </c>
      <c r="AD442" s="49"/>
      <c r="AE442" s="49">
        <v>0</v>
      </c>
      <c r="AF442" s="49"/>
      <c r="AG442" s="49">
        <v>0</v>
      </c>
      <c r="AH442" s="49"/>
      <c r="AI442" s="49">
        <f t="shared" si="21"/>
        <v>651221.01000000013</v>
      </c>
      <c r="AK442" s="6" t="str">
        <f>'Gen Rev'!A442</f>
        <v>North Bend</v>
      </c>
      <c r="AL442" s="6" t="str">
        <f t="shared" si="19"/>
        <v>North Bend</v>
      </c>
      <c r="AM442" s="6" t="b">
        <f t="shared" si="20"/>
        <v>1</v>
      </c>
    </row>
    <row r="443" spans="1:39" x14ac:dyDescent="0.2">
      <c r="A443" s="6" t="s">
        <v>388</v>
      </c>
      <c r="C443" s="6" t="s">
        <v>386</v>
      </c>
      <c r="E443" s="49">
        <v>35112.99</v>
      </c>
      <c r="F443" s="49"/>
      <c r="G443" s="49">
        <v>0</v>
      </c>
      <c r="H443" s="49"/>
      <c r="I443" s="49">
        <v>47022.32</v>
      </c>
      <c r="J443" s="49"/>
      <c r="K443" s="49">
        <v>0</v>
      </c>
      <c r="L443" s="49"/>
      <c r="M443" s="49">
        <v>25718.26</v>
      </c>
      <c r="N443" s="49"/>
      <c r="O443" s="49">
        <v>3799.6</v>
      </c>
      <c r="P443" s="49"/>
      <c r="Q443" s="49">
        <v>543.66</v>
      </c>
      <c r="R443" s="49"/>
      <c r="S443" s="49">
        <v>20</v>
      </c>
      <c r="T443" s="49"/>
      <c r="U443" s="49">
        <v>0</v>
      </c>
      <c r="V443" s="49"/>
      <c r="W443" s="49">
        <v>0</v>
      </c>
      <c r="X443" s="49"/>
      <c r="Y443" s="49">
        <v>0</v>
      </c>
      <c r="Z443" s="49"/>
      <c r="AA443" s="49">
        <v>0</v>
      </c>
      <c r="AB443" s="49"/>
      <c r="AC443" s="49">
        <v>0</v>
      </c>
      <c r="AD443" s="49"/>
      <c r="AE443" s="49">
        <v>271.8</v>
      </c>
      <c r="AF443" s="49"/>
      <c r="AG443" s="49">
        <v>0</v>
      </c>
      <c r="AH443" s="49"/>
      <c r="AI443" s="49">
        <f t="shared" si="21"/>
        <v>112488.63</v>
      </c>
      <c r="AK443" s="6" t="str">
        <f>'Gen Rev'!A443</f>
        <v>North Fairfield</v>
      </c>
      <c r="AL443" s="6" t="str">
        <f t="shared" si="19"/>
        <v>North Fairfield</v>
      </c>
      <c r="AM443" s="6" t="b">
        <f t="shared" si="20"/>
        <v>1</v>
      </c>
    </row>
    <row r="444" spans="1:39" x14ac:dyDescent="0.2">
      <c r="A444" s="6" t="s">
        <v>275</v>
      </c>
      <c r="C444" s="6" t="s">
        <v>274</v>
      </c>
      <c r="E444" s="49">
        <v>28076.52</v>
      </c>
      <c r="F444" s="49"/>
      <c r="G444" s="49">
        <v>0</v>
      </c>
      <c r="H444" s="49"/>
      <c r="I444" s="49">
        <v>26593.81</v>
      </c>
      <c r="J444" s="49"/>
      <c r="K444" s="49">
        <v>0</v>
      </c>
      <c r="L444" s="49"/>
      <c r="M444" s="49">
        <v>0</v>
      </c>
      <c r="N444" s="49"/>
      <c r="O444" s="49">
        <v>226048.5</v>
      </c>
      <c r="P444" s="49"/>
      <c r="Q444" s="49">
        <v>57.79</v>
      </c>
      <c r="R444" s="49"/>
      <c r="S444" s="49">
        <v>4264.51</v>
      </c>
      <c r="T444" s="49"/>
      <c r="U444" s="49">
        <v>0</v>
      </c>
      <c r="V444" s="49"/>
      <c r="W444" s="49">
        <v>0</v>
      </c>
      <c r="X444" s="49"/>
      <c r="Y444" s="49">
        <v>0</v>
      </c>
      <c r="Z444" s="49"/>
      <c r="AA444" s="49">
        <v>0</v>
      </c>
      <c r="AB444" s="49"/>
      <c r="AC444" s="49">
        <v>0</v>
      </c>
      <c r="AD444" s="49"/>
      <c r="AE444" s="49">
        <v>0</v>
      </c>
      <c r="AF444" s="49"/>
      <c r="AG444" s="49">
        <v>0</v>
      </c>
      <c r="AH444" s="49"/>
      <c r="AI444" s="49">
        <f t="shared" si="21"/>
        <v>285041.13</v>
      </c>
      <c r="AK444" s="6" t="str">
        <f>'Gen Rev'!A444</f>
        <v>North Hampton</v>
      </c>
      <c r="AL444" s="6" t="str">
        <f t="shared" si="19"/>
        <v>North Hampton</v>
      </c>
      <c r="AM444" s="6" t="b">
        <f t="shared" si="20"/>
        <v>1</v>
      </c>
    </row>
    <row r="445" spans="1:39" x14ac:dyDescent="0.2">
      <c r="A445" s="6" t="s">
        <v>635</v>
      </c>
      <c r="C445" s="6" t="s">
        <v>624</v>
      </c>
      <c r="E445" s="49">
        <v>307397.24</v>
      </c>
      <c r="F445" s="49"/>
      <c r="G445" s="49">
        <v>567311.44999999995</v>
      </c>
      <c r="H445" s="49"/>
      <c r="I445" s="49">
        <v>331692.44</v>
      </c>
      <c r="J445" s="49"/>
      <c r="K445" s="49">
        <v>12755.92</v>
      </c>
      <c r="L445" s="49"/>
      <c r="M445" s="49">
        <v>40554.400000000001</v>
      </c>
      <c r="N445" s="49"/>
      <c r="O445" s="49">
        <v>181239.62</v>
      </c>
      <c r="P445" s="49"/>
      <c r="Q445" s="49">
        <v>118.31</v>
      </c>
      <c r="R445" s="49"/>
      <c r="S445" s="49">
        <v>45068.74</v>
      </c>
      <c r="T445" s="49"/>
      <c r="U445" s="49">
        <v>0</v>
      </c>
      <c r="V445" s="49"/>
      <c r="W445" s="49">
        <v>0</v>
      </c>
      <c r="X445" s="49"/>
      <c r="Y445" s="49">
        <v>499</v>
      </c>
      <c r="Z445" s="49"/>
      <c r="AA445" s="49">
        <v>107723.06</v>
      </c>
      <c r="AB445" s="49"/>
      <c r="AC445" s="49">
        <v>75620</v>
      </c>
      <c r="AD445" s="49"/>
      <c r="AE445" s="49">
        <v>37645.69</v>
      </c>
      <c r="AF445" s="49"/>
      <c r="AG445" s="49">
        <v>0</v>
      </c>
      <c r="AH445" s="49"/>
      <c r="AI445" s="49">
        <f t="shared" si="21"/>
        <v>1707625.8699999999</v>
      </c>
      <c r="AK445" s="6" t="str">
        <f>'Gen Rev'!A445</f>
        <v>North Kingsville</v>
      </c>
      <c r="AL445" s="6" t="str">
        <f t="shared" si="19"/>
        <v>North Kingsville</v>
      </c>
      <c r="AM445" s="6" t="b">
        <f t="shared" si="20"/>
        <v>1</v>
      </c>
    </row>
    <row r="446" spans="1:39" x14ac:dyDescent="0.2">
      <c r="A446" s="6" t="s">
        <v>271</v>
      </c>
      <c r="C446" s="6" t="s">
        <v>269</v>
      </c>
      <c r="E446" s="49">
        <v>45265.38</v>
      </c>
      <c r="F446" s="49"/>
      <c r="G446" s="49">
        <v>203368.33</v>
      </c>
      <c r="H446" s="49"/>
      <c r="I446" s="49">
        <v>76150.880000000005</v>
      </c>
      <c r="J446" s="49"/>
      <c r="K446" s="49">
        <v>0</v>
      </c>
      <c r="L446" s="49"/>
      <c r="M446" s="49">
        <v>3775.7</v>
      </c>
      <c r="N446" s="49"/>
      <c r="O446" s="49">
        <v>21514.14</v>
      </c>
      <c r="P446" s="49"/>
      <c r="Q446" s="49">
        <v>1668.8</v>
      </c>
      <c r="R446" s="49"/>
      <c r="S446" s="49">
        <v>0</v>
      </c>
      <c r="T446" s="49"/>
      <c r="U446" s="49">
        <v>0</v>
      </c>
      <c r="V446" s="49"/>
      <c r="W446" s="49">
        <v>0</v>
      </c>
      <c r="X446" s="49"/>
      <c r="Y446" s="49">
        <v>0</v>
      </c>
      <c r="Z446" s="49"/>
      <c r="AA446" s="49">
        <v>0</v>
      </c>
      <c r="AB446" s="49"/>
      <c r="AC446" s="49">
        <v>0</v>
      </c>
      <c r="AD446" s="49"/>
      <c r="AE446" s="49">
        <v>69131.78</v>
      </c>
      <c r="AF446" s="49"/>
      <c r="AG446" s="49">
        <v>0</v>
      </c>
      <c r="AH446" s="49"/>
      <c r="AI446" s="49">
        <f t="shared" si="21"/>
        <v>420875.01</v>
      </c>
      <c r="AK446" s="6" t="str">
        <f>'Gen Rev'!A446</f>
        <v>North Lewisburg</v>
      </c>
      <c r="AL446" s="6" t="str">
        <f t="shared" si="19"/>
        <v>North Lewisburg</v>
      </c>
      <c r="AM446" s="6" t="b">
        <f t="shared" si="20"/>
        <v>1</v>
      </c>
    </row>
    <row r="447" spans="1:39" x14ac:dyDescent="0.2">
      <c r="A447" s="6" t="s">
        <v>116</v>
      </c>
      <c r="C447" s="6" t="s">
        <v>399</v>
      </c>
      <c r="E447" s="49">
        <v>517383.99</v>
      </c>
      <c r="F447" s="49"/>
      <c r="G447" s="49">
        <v>1622263.97</v>
      </c>
      <c r="H447" s="49"/>
      <c r="I447" s="49">
        <v>451702.12</v>
      </c>
      <c r="J447" s="49"/>
      <c r="K447" s="49">
        <v>0</v>
      </c>
      <c r="L447" s="49"/>
      <c r="M447" s="49">
        <v>2900</v>
      </c>
      <c r="N447" s="49"/>
      <c r="O447" s="49">
        <v>22107.13</v>
      </c>
      <c r="P447" s="49"/>
      <c r="Q447" s="49">
        <v>84075.6</v>
      </c>
      <c r="R447" s="49"/>
      <c r="S447" s="49">
        <v>67393.100000000006</v>
      </c>
      <c r="T447" s="49"/>
      <c r="U447" s="49">
        <v>0</v>
      </c>
      <c r="V447" s="49"/>
      <c r="W447" s="49">
        <v>0</v>
      </c>
      <c r="X447" s="49"/>
      <c r="Y447" s="49">
        <v>0</v>
      </c>
      <c r="Z447" s="49"/>
      <c r="AA447" s="49">
        <v>665312.5</v>
      </c>
      <c r="AB447" s="49"/>
      <c r="AC447" s="49">
        <v>0</v>
      </c>
      <c r="AD447" s="49"/>
      <c r="AE447" s="49">
        <v>0</v>
      </c>
      <c r="AF447" s="49"/>
      <c r="AG447" s="49">
        <v>0</v>
      </c>
      <c r="AH447" s="49"/>
      <c r="AI447" s="49">
        <f t="shared" si="21"/>
        <v>3433138.41</v>
      </c>
      <c r="AK447" s="6" t="str">
        <f>'Gen Rev'!A447</f>
        <v>North Perry</v>
      </c>
      <c r="AL447" s="6" t="str">
        <f t="shared" si="19"/>
        <v>North Perry</v>
      </c>
      <c r="AM447" s="6" t="b">
        <f t="shared" si="20"/>
        <v>1</v>
      </c>
    </row>
    <row r="448" spans="1:39" x14ac:dyDescent="0.2">
      <c r="A448" s="6" t="s">
        <v>714</v>
      </c>
      <c r="C448" s="6" t="s">
        <v>686</v>
      </c>
      <c r="E448" s="49">
        <v>134205</v>
      </c>
      <c r="F448" s="49"/>
      <c r="G448" s="49">
        <v>1909529</v>
      </c>
      <c r="H448" s="49"/>
      <c r="I448" s="49">
        <v>1070974</v>
      </c>
      <c r="J448" s="49"/>
      <c r="K448" s="49">
        <v>36524</v>
      </c>
      <c r="L448" s="49"/>
      <c r="M448" s="49">
        <v>79620</v>
      </c>
      <c r="N448" s="49"/>
      <c r="O448" s="49">
        <v>316968</v>
      </c>
      <c r="P448" s="49"/>
      <c r="Q448" s="49">
        <v>1</v>
      </c>
      <c r="R448" s="49"/>
      <c r="S448" s="49">
        <v>4682</v>
      </c>
      <c r="T448" s="49"/>
      <c r="U448" s="49">
        <v>0</v>
      </c>
      <c r="V448" s="49"/>
      <c r="W448" s="49">
        <v>0</v>
      </c>
      <c r="X448" s="49"/>
      <c r="Y448" s="49">
        <v>28956</v>
      </c>
      <c r="Z448" s="49"/>
      <c r="AA448" s="49">
        <v>0</v>
      </c>
      <c r="AB448" s="49"/>
      <c r="AC448" s="49">
        <v>0</v>
      </c>
      <c r="AD448" s="49"/>
      <c r="AE448" s="49">
        <v>0</v>
      </c>
      <c r="AF448" s="49"/>
      <c r="AG448" s="49">
        <v>0</v>
      </c>
      <c r="AH448" s="49"/>
      <c r="AI448" s="49">
        <f t="shared" si="21"/>
        <v>3581459</v>
      </c>
      <c r="AK448" s="6" t="str">
        <f>'Gen Rev'!A448</f>
        <v>North Randall</v>
      </c>
      <c r="AL448" s="6" t="str">
        <f t="shared" si="19"/>
        <v>North Randall</v>
      </c>
      <c r="AM448" s="6" t="b">
        <f t="shared" si="20"/>
        <v>1</v>
      </c>
    </row>
    <row r="449" spans="1:39" x14ac:dyDescent="0.2">
      <c r="A449" s="6" t="s">
        <v>291</v>
      </c>
      <c r="C449" s="6" t="s">
        <v>289</v>
      </c>
      <c r="E449" s="49">
        <v>6248</v>
      </c>
      <c r="F449" s="49"/>
      <c r="G449" s="49">
        <v>0</v>
      </c>
      <c r="H449" s="49"/>
      <c r="I449" s="49">
        <v>1636</v>
      </c>
      <c r="J449" s="49"/>
      <c r="K449" s="49">
        <f>5698+8456</f>
        <v>14154</v>
      </c>
      <c r="L449" s="49"/>
      <c r="M449" s="49">
        <f>17+90</f>
        <v>107</v>
      </c>
      <c r="N449" s="49"/>
      <c r="O449" s="49">
        <v>0</v>
      </c>
      <c r="P449" s="49"/>
      <c r="Q449" s="49">
        <v>0</v>
      </c>
      <c r="R449" s="49"/>
      <c r="S449" s="49">
        <v>216</v>
      </c>
      <c r="T449" s="49"/>
      <c r="U449" s="49">
        <v>0</v>
      </c>
      <c r="V449" s="49"/>
      <c r="W449" s="49">
        <v>0</v>
      </c>
      <c r="X449" s="49"/>
      <c r="Y449" s="49">
        <v>0</v>
      </c>
      <c r="Z449" s="49"/>
      <c r="AA449" s="49">
        <v>0</v>
      </c>
      <c r="AB449" s="49"/>
      <c r="AC449" s="49">
        <v>0</v>
      </c>
      <c r="AD449" s="49"/>
      <c r="AE449" s="49">
        <v>0</v>
      </c>
      <c r="AF449" s="49"/>
      <c r="AG449" s="49">
        <v>0</v>
      </c>
      <c r="AH449" s="49"/>
      <c r="AI449" s="49">
        <f t="shared" si="21"/>
        <v>22361</v>
      </c>
      <c r="AK449" s="6" t="str">
        <f>'Gen Rev'!A449</f>
        <v>North Robinson</v>
      </c>
      <c r="AL449" s="6" t="str">
        <f t="shared" si="19"/>
        <v>North Robinson</v>
      </c>
      <c r="AM449" s="6" t="b">
        <f t="shared" si="20"/>
        <v>1</v>
      </c>
    </row>
    <row r="450" spans="1:39" x14ac:dyDescent="0.2">
      <c r="A450" s="6" t="s">
        <v>311</v>
      </c>
      <c r="C450" s="6" t="s">
        <v>306</v>
      </c>
      <c r="E450" s="49">
        <v>29</v>
      </c>
      <c r="F450" s="49"/>
      <c r="G450" s="49">
        <v>21080</v>
      </c>
      <c r="H450" s="49"/>
      <c r="I450" s="49">
        <v>33972</v>
      </c>
      <c r="J450" s="49"/>
      <c r="K450" s="49">
        <v>79196</v>
      </c>
      <c r="L450" s="49"/>
      <c r="M450" s="49">
        <v>12550</v>
      </c>
      <c r="N450" s="49"/>
      <c r="O450" s="49">
        <v>1412</v>
      </c>
      <c r="P450" s="49"/>
      <c r="Q450" s="49">
        <v>393</v>
      </c>
      <c r="R450" s="49"/>
      <c r="S450" s="49">
        <v>12296</v>
      </c>
      <c r="T450" s="49"/>
      <c r="U450" s="49">
        <v>0</v>
      </c>
      <c r="V450" s="49"/>
      <c r="W450" s="49">
        <v>0</v>
      </c>
      <c r="X450" s="49"/>
      <c r="Y450" s="49">
        <v>0</v>
      </c>
      <c r="Z450" s="49"/>
      <c r="AA450" s="49">
        <v>5739</v>
      </c>
      <c r="AB450" s="49"/>
      <c r="AC450" s="49">
        <v>0</v>
      </c>
      <c r="AD450" s="49"/>
      <c r="AE450" s="49">
        <v>0</v>
      </c>
      <c r="AF450" s="49"/>
      <c r="AG450" s="49">
        <v>0</v>
      </c>
      <c r="AH450" s="49"/>
      <c r="AI450" s="49">
        <f t="shared" si="21"/>
        <v>166667</v>
      </c>
      <c r="AK450" s="6" t="str">
        <f>'Gen Rev'!A450</f>
        <v xml:space="preserve">North Star </v>
      </c>
      <c r="AL450" s="6" t="str">
        <f t="shared" si="19"/>
        <v xml:space="preserve">North Star </v>
      </c>
      <c r="AM450" s="6" t="b">
        <f t="shared" si="20"/>
        <v>1</v>
      </c>
    </row>
    <row r="451" spans="1:39" x14ac:dyDescent="0.2">
      <c r="A451" s="6" t="s">
        <v>162</v>
      </c>
      <c r="C451" s="6" t="s">
        <v>450</v>
      </c>
      <c r="E451" s="49">
        <v>10542.47</v>
      </c>
      <c r="F451" s="49"/>
      <c r="G451" s="49">
        <v>0</v>
      </c>
      <c r="H451" s="49"/>
      <c r="I451" s="49">
        <v>12315.97</v>
      </c>
      <c r="J451" s="49"/>
      <c r="K451" s="49">
        <v>0</v>
      </c>
      <c r="L451" s="49"/>
      <c r="M451" s="49">
        <v>0</v>
      </c>
      <c r="N451" s="49"/>
      <c r="O451" s="49">
        <v>0</v>
      </c>
      <c r="P451" s="49"/>
      <c r="Q451" s="49">
        <v>71.61</v>
      </c>
      <c r="R451" s="49"/>
      <c r="S451" s="49">
        <v>821.33</v>
      </c>
      <c r="T451" s="49"/>
      <c r="U451" s="49">
        <v>0</v>
      </c>
      <c r="V451" s="49"/>
      <c r="W451" s="49">
        <v>0</v>
      </c>
      <c r="X451" s="49"/>
      <c r="Y451" s="49">
        <v>0</v>
      </c>
      <c r="Z451" s="49"/>
      <c r="AA451" s="49">
        <v>0</v>
      </c>
      <c r="AB451" s="49"/>
      <c r="AC451" s="49">
        <v>0</v>
      </c>
      <c r="AD451" s="49"/>
      <c r="AE451" s="49">
        <v>0</v>
      </c>
      <c r="AF451" s="49"/>
      <c r="AG451" s="49">
        <v>0</v>
      </c>
      <c r="AH451" s="49"/>
      <c r="AI451" s="49">
        <f t="shared" si="21"/>
        <v>23751.38</v>
      </c>
      <c r="AK451" s="6" t="str">
        <f>'Gen Rev'!A451</f>
        <v>Norwich</v>
      </c>
      <c r="AL451" s="6" t="str">
        <f t="shared" si="19"/>
        <v>Norwich</v>
      </c>
      <c r="AM451" s="6" t="b">
        <f t="shared" si="20"/>
        <v>1</v>
      </c>
    </row>
    <row r="452" spans="1:39" x14ac:dyDescent="0.2">
      <c r="A452" s="6" t="s">
        <v>458</v>
      </c>
      <c r="C452" s="6" t="s">
        <v>192</v>
      </c>
      <c r="E452" s="49">
        <v>220390</v>
      </c>
      <c r="F452" s="49"/>
      <c r="G452" s="49">
        <v>640876</v>
      </c>
      <c r="H452" s="49"/>
      <c r="I452" s="49">
        <v>262913</v>
      </c>
      <c r="J452" s="49"/>
      <c r="K452" s="49">
        <v>5591</v>
      </c>
      <c r="L452" s="49"/>
      <c r="M452" s="49">
        <v>72273</v>
      </c>
      <c r="N452" s="49"/>
      <c r="O452" s="49">
        <v>8458</v>
      </c>
      <c r="P452" s="49"/>
      <c r="Q452" s="49">
        <v>31411</v>
      </c>
      <c r="R452" s="49"/>
      <c r="S452" s="49">
        <f>19970+29448+115398</f>
        <v>164816</v>
      </c>
      <c r="T452" s="49"/>
      <c r="U452" s="49">
        <v>0</v>
      </c>
      <c r="V452" s="49"/>
      <c r="W452" s="49">
        <v>0</v>
      </c>
      <c r="X452" s="49"/>
      <c r="Y452" s="49">
        <v>0</v>
      </c>
      <c r="Z452" s="49"/>
      <c r="AA452" s="49">
        <v>62465</v>
      </c>
      <c r="AB452" s="49"/>
      <c r="AC452" s="49">
        <v>0</v>
      </c>
      <c r="AD452" s="49"/>
      <c r="AE452" s="49">
        <v>0</v>
      </c>
      <c r="AF452" s="49"/>
      <c r="AG452" s="49">
        <v>0</v>
      </c>
      <c r="AH452" s="49"/>
      <c r="AI452" s="49">
        <f t="shared" si="21"/>
        <v>1469193</v>
      </c>
      <c r="AK452" s="6" t="str">
        <f>'Gen Rev'!A452</f>
        <v>Oak Harbor</v>
      </c>
      <c r="AL452" s="6" t="str">
        <f t="shared" si="19"/>
        <v>Oak Harbor</v>
      </c>
      <c r="AM452" s="6" t="b">
        <f t="shared" si="20"/>
        <v>1</v>
      </c>
    </row>
    <row r="453" spans="1:39" x14ac:dyDescent="0.2">
      <c r="A453" s="6" t="s">
        <v>109</v>
      </c>
      <c r="C453" s="6" t="s">
        <v>850</v>
      </c>
      <c r="E453" s="49">
        <v>276143.64</v>
      </c>
      <c r="F453" s="49"/>
      <c r="G453" s="49">
        <v>0</v>
      </c>
      <c r="H453" s="49"/>
      <c r="I453" s="49">
        <v>170414.98</v>
      </c>
      <c r="J453" s="49"/>
      <c r="K453" s="49">
        <v>0</v>
      </c>
      <c r="L453" s="49"/>
      <c r="M453" s="49">
        <v>20670.330000000002</v>
      </c>
      <c r="N453" s="49"/>
      <c r="O453" s="49">
        <v>43484.639999999999</v>
      </c>
      <c r="P453" s="49"/>
      <c r="Q453" s="49">
        <v>4350.66</v>
      </c>
      <c r="R453" s="49"/>
      <c r="S453" s="49">
        <v>35194.53</v>
      </c>
      <c r="T453" s="49"/>
      <c r="U453" s="49">
        <v>0</v>
      </c>
      <c r="V453" s="49"/>
      <c r="W453" s="49">
        <v>0</v>
      </c>
      <c r="X453" s="49"/>
      <c r="Y453" s="49">
        <v>0</v>
      </c>
      <c r="Z453" s="49"/>
      <c r="AA453" s="49">
        <v>190.72</v>
      </c>
      <c r="AB453" s="49"/>
      <c r="AC453" s="49">
        <v>0</v>
      </c>
      <c r="AD453" s="49"/>
      <c r="AE453" s="49">
        <v>354.7</v>
      </c>
      <c r="AF453" s="49"/>
      <c r="AG453" s="49">
        <v>0</v>
      </c>
      <c r="AH453" s="49"/>
      <c r="AI453" s="49">
        <f t="shared" si="21"/>
        <v>550804.19999999995</v>
      </c>
      <c r="AK453" s="6" t="str">
        <f>'Gen Rev'!A453</f>
        <v>Oak Hill</v>
      </c>
      <c r="AL453" s="6" t="str">
        <f t="shared" si="19"/>
        <v>Oak Hill</v>
      </c>
      <c r="AM453" s="6" t="b">
        <f t="shared" si="20"/>
        <v>1</v>
      </c>
    </row>
    <row r="454" spans="1:39" x14ac:dyDescent="0.2">
      <c r="A454" s="8" t="s">
        <v>302</v>
      </c>
      <c r="B454" s="8"/>
      <c r="C454" s="8" t="s">
        <v>293</v>
      </c>
      <c r="D454" s="8"/>
      <c r="E454" s="49">
        <v>350390</v>
      </c>
      <c r="F454" s="49"/>
      <c r="G454" s="49">
        <v>5743664</v>
      </c>
      <c r="H454" s="49"/>
      <c r="I454" s="49">
        <v>953304</v>
      </c>
      <c r="J454" s="49"/>
      <c r="K454" s="49">
        <v>176698</v>
      </c>
      <c r="L454" s="49"/>
      <c r="M454" s="49">
        <v>1066769</v>
      </c>
      <c r="N454" s="49"/>
      <c r="O454" s="49">
        <v>523530</v>
      </c>
      <c r="P454" s="49"/>
      <c r="Q454" s="49">
        <v>300</v>
      </c>
      <c r="R454" s="49"/>
      <c r="S454" s="49">
        <v>779395</v>
      </c>
      <c r="T454" s="49"/>
      <c r="U454" s="49">
        <f>174759+2267</f>
        <v>177026</v>
      </c>
      <c r="V454" s="49"/>
      <c r="W454" s="49">
        <v>2766500</v>
      </c>
      <c r="X454" s="49"/>
      <c r="Y454" s="49">
        <v>0</v>
      </c>
      <c r="Z454" s="49"/>
      <c r="AA454" s="49">
        <v>698300</v>
      </c>
      <c r="AB454" s="49"/>
      <c r="AC454" s="49">
        <v>0</v>
      </c>
      <c r="AD454" s="49"/>
      <c r="AE454" s="49">
        <v>0</v>
      </c>
      <c r="AF454" s="49"/>
      <c r="AG454" s="49">
        <v>0</v>
      </c>
      <c r="AH454" s="49"/>
      <c r="AI454" s="49">
        <f t="shared" si="21"/>
        <v>13235876</v>
      </c>
      <c r="AK454" s="6" t="str">
        <f>'Gen Rev'!A454</f>
        <v>Oakwood</v>
      </c>
      <c r="AL454" s="6" t="str">
        <f t="shared" si="19"/>
        <v>Oakwood</v>
      </c>
      <c r="AM454" s="6" t="b">
        <f t="shared" si="20"/>
        <v>1</v>
      </c>
    </row>
    <row r="455" spans="1:39" x14ac:dyDescent="0.2">
      <c r="A455" s="6" t="s">
        <v>302</v>
      </c>
      <c r="C455" s="6" t="s">
        <v>460</v>
      </c>
      <c r="E455" s="49">
        <v>61337</v>
      </c>
      <c r="F455" s="49"/>
      <c r="G455" s="49">
        <v>76746</v>
      </c>
      <c r="H455" s="49"/>
      <c r="I455" s="49">
        <v>101272</v>
      </c>
      <c r="J455" s="49"/>
      <c r="K455" s="49">
        <v>0</v>
      </c>
      <c r="L455" s="49"/>
      <c r="M455" s="49">
        <v>107941</v>
      </c>
      <c r="N455" s="49"/>
      <c r="O455" s="49">
        <v>5359</v>
      </c>
      <c r="P455" s="49"/>
      <c r="Q455" s="49">
        <v>147</v>
      </c>
      <c r="R455" s="49"/>
      <c r="S455" s="49">
        <v>12380</v>
      </c>
      <c r="T455" s="49"/>
      <c r="U455" s="49">
        <v>0</v>
      </c>
      <c r="V455" s="49"/>
      <c r="W455" s="49">
        <v>0</v>
      </c>
      <c r="X455" s="49"/>
      <c r="Y455" s="49">
        <v>0</v>
      </c>
      <c r="Z455" s="49"/>
      <c r="AA455" s="49">
        <v>56130</v>
      </c>
      <c r="AB455" s="49"/>
      <c r="AC455" s="49">
        <v>0</v>
      </c>
      <c r="AD455" s="49"/>
      <c r="AE455" s="49">
        <v>146847</v>
      </c>
      <c r="AF455" s="49"/>
      <c r="AG455" s="49">
        <v>0</v>
      </c>
      <c r="AH455" s="49"/>
      <c r="AI455" s="49">
        <f t="shared" si="21"/>
        <v>568159</v>
      </c>
      <c r="AK455" s="6" t="str">
        <f>'Gen Rev'!A455</f>
        <v>Oakwood</v>
      </c>
      <c r="AL455" s="6" t="str">
        <f t="shared" si="19"/>
        <v>Oakwood</v>
      </c>
      <c r="AM455" s="6" t="b">
        <f t="shared" si="20"/>
        <v>1</v>
      </c>
    </row>
    <row r="456" spans="1:39" x14ac:dyDescent="0.2">
      <c r="A456" s="6" t="s">
        <v>70</v>
      </c>
      <c r="C456" s="6" t="s">
        <v>329</v>
      </c>
      <c r="E456" s="49">
        <v>406428.68</v>
      </c>
      <c r="F456" s="49"/>
      <c r="G456" s="49">
        <v>5019613.0999999996</v>
      </c>
      <c r="H456" s="49"/>
      <c r="I456" s="49">
        <v>6863675.9100000001</v>
      </c>
      <c r="J456" s="49"/>
      <c r="K456" s="49">
        <v>7692.46</v>
      </c>
      <c r="L456" s="49"/>
      <c r="M456" s="49">
        <v>358021.62</v>
      </c>
      <c r="N456" s="49"/>
      <c r="O456" s="49">
        <v>478750.93</v>
      </c>
      <c r="P456" s="49"/>
      <c r="Q456" s="49">
        <v>37549.089999999997</v>
      </c>
      <c r="R456" s="49"/>
      <c r="S456" s="49">
        <v>436101.6</v>
      </c>
      <c r="T456" s="49"/>
      <c r="U456" s="49">
        <v>0</v>
      </c>
      <c r="V456" s="49"/>
      <c r="W456" s="49">
        <v>0</v>
      </c>
      <c r="X456" s="49"/>
      <c r="Y456" s="49">
        <v>10892</v>
      </c>
      <c r="Z456" s="49"/>
      <c r="AA456" s="49">
        <v>44340.639999999999</v>
      </c>
      <c r="AB456" s="49"/>
      <c r="AC456" s="49">
        <v>16460</v>
      </c>
      <c r="AD456" s="49"/>
      <c r="AE456" s="49">
        <v>351077.95</v>
      </c>
      <c r="AF456" s="49"/>
      <c r="AG456" s="49">
        <v>0</v>
      </c>
      <c r="AH456" s="49"/>
      <c r="AI456" s="49">
        <f t="shared" si="21"/>
        <v>14030603.979999999</v>
      </c>
      <c r="AK456" s="6" t="str">
        <f>'Gen Rev'!A456</f>
        <v>Obetz</v>
      </c>
      <c r="AL456" s="6" t="str">
        <f t="shared" si="19"/>
        <v>Obetz</v>
      </c>
      <c r="AM456" s="6" t="b">
        <f t="shared" si="20"/>
        <v>1</v>
      </c>
    </row>
    <row r="457" spans="1:39" x14ac:dyDescent="0.2">
      <c r="A457" s="6" t="s">
        <v>66</v>
      </c>
      <c r="C457" s="6" t="s">
        <v>334</v>
      </c>
      <c r="E457" s="49">
        <v>32355.21</v>
      </c>
      <c r="F457" s="49"/>
      <c r="G457" s="49">
        <v>35520.21</v>
      </c>
      <c r="H457" s="49"/>
      <c r="I457" s="49">
        <v>14334.38</v>
      </c>
      <c r="J457" s="49"/>
      <c r="K457" s="49">
        <v>0</v>
      </c>
      <c r="L457" s="49"/>
      <c r="M457" s="49">
        <v>0</v>
      </c>
      <c r="N457" s="49"/>
      <c r="O457" s="49">
        <v>197.5</v>
      </c>
      <c r="P457" s="49"/>
      <c r="Q457" s="49">
        <v>17.170000000000002</v>
      </c>
      <c r="R457" s="49"/>
      <c r="S457" s="49">
        <v>1710.38</v>
      </c>
      <c r="T457" s="49"/>
      <c r="U457" s="49">
        <v>0</v>
      </c>
      <c r="V457" s="49"/>
      <c r="W457" s="49">
        <v>0</v>
      </c>
      <c r="X457" s="49"/>
      <c r="Y457" s="49">
        <v>0</v>
      </c>
      <c r="Z457" s="49"/>
      <c r="AA457" s="49">
        <v>5283.57</v>
      </c>
      <c r="AB457" s="49"/>
      <c r="AC457" s="49">
        <v>2290.8000000000002</v>
      </c>
      <c r="AD457" s="49"/>
      <c r="AE457" s="49">
        <v>0</v>
      </c>
      <c r="AF457" s="49"/>
      <c r="AG457" s="49">
        <v>0</v>
      </c>
      <c r="AH457" s="49"/>
      <c r="AI457" s="49">
        <f t="shared" si="21"/>
        <v>91709.220000000016</v>
      </c>
      <c r="AK457" s="6" t="str">
        <f>'Gen Rev'!A457</f>
        <v>Octa</v>
      </c>
      <c r="AL457" s="6" t="str">
        <f t="shared" si="19"/>
        <v>Octa</v>
      </c>
      <c r="AM457" s="6" t="b">
        <f t="shared" si="20"/>
        <v>1</v>
      </c>
    </row>
    <row r="458" spans="1:39" x14ac:dyDescent="0.2">
      <c r="A458" s="6" t="s">
        <v>533</v>
      </c>
      <c r="C458" s="6" t="s">
        <v>532</v>
      </c>
      <c r="E458" s="49">
        <v>84257</v>
      </c>
      <c r="F458" s="49"/>
      <c r="G458" s="49">
        <v>96483</v>
      </c>
      <c r="H458" s="49"/>
      <c r="I458" s="49">
        <v>70738</v>
      </c>
      <c r="J458" s="49"/>
      <c r="K458" s="49">
        <v>0</v>
      </c>
      <c r="L458" s="49"/>
      <c r="M458" s="49">
        <v>71631</v>
      </c>
      <c r="N458" s="49"/>
      <c r="O458" s="49">
        <v>5931</v>
      </c>
      <c r="P458" s="49"/>
      <c r="Q458" s="49">
        <v>0</v>
      </c>
      <c r="R458" s="49"/>
      <c r="S458" s="49">
        <v>22876</v>
      </c>
      <c r="T458" s="49"/>
      <c r="U458" s="49">
        <v>0</v>
      </c>
      <c r="V458" s="49"/>
      <c r="W458" s="49">
        <v>0</v>
      </c>
      <c r="X458" s="49"/>
      <c r="Y458" s="49">
        <v>0</v>
      </c>
      <c r="Z458" s="49"/>
      <c r="AA458" s="49">
        <v>9648</v>
      </c>
      <c r="AB458" s="49"/>
      <c r="AC458" s="49">
        <v>0</v>
      </c>
      <c r="AD458" s="49"/>
      <c r="AE458" s="49">
        <v>0</v>
      </c>
      <c r="AF458" s="49"/>
      <c r="AG458" s="49">
        <v>0</v>
      </c>
      <c r="AH458" s="49"/>
      <c r="AI458" s="49">
        <f t="shared" si="21"/>
        <v>361564</v>
      </c>
      <c r="AK458" s="6" t="str">
        <f>'Gen Rev'!A458</f>
        <v xml:space="preserve">Ohio City </v>
      </c>
      <c r="AL458" s="6" t="str">
        <f t="shared" si="19"/>
        <v xml:space="preserve">Ohio City </v>
      </c>
      <c r="AM458" s="6" t="b">
        <f t="shared" si="20"/>
        <v>1</v>
      </c>
    </row>
    <row r="459" spans="1:39" x14ac:dyDescent="0.2">
      <c r="A459" s="6" t="s">
        <v>825</v>
      </c>
      <c r="C459" s="6" t="s">
        <v>349</v>
      </c>
      <c r="E459" s="49">
        <v>15272.08</v>
      </c>
      <c r="F459" s="49"/>
      <c r="G459" s="49">
        <v>0</v>
      </c>
      <c r="H459" s="49"/>
      <c r="I459" s="49">
        <v>24527.279999999999</v>
      </c>
      <c r="J459" s="49"/>
      <c r="K459" s="49">
        <v>0</v>
      </c>
      <c r="L459" s="49"/>
      <c r="M459" s="49">
        <v>5525</v>
      </c>
      <c r="N459" s="49"/>
      <c r="O459" s="49">
        <v>0</v>
      </c>
      <c r="P459" s="49"/>
      <c r="Q459" s="49">
        <v>237.96</v>
      </c>
      <c r="R459" s="49"/>
      <c r="S459" s="49">
        <v>237.35</v>
      </c>
      <c r="T459" s="49"/>
      <c r="U459" s="49">
        <v>0</v>
      </c>
      <c r="V459" s="49"/>
      <c r="W459" s="49">
        <v>0</v>
      </c>
      <c r="X459" s="49"/>
      <c r="Y459" s="49">
        <v>0</v>
      </c>
      <c r="Z459" s="49"/>
      <c r="AA459" s="49">
        <v>0</v>
      </c>
      <c r="AB459" s="49"/>
      <c r="AC459" s="49">
        <v>0</v>
      </c>
      <c r="AD459" s="49"/>
      <c r="AE459" s="49">
        <v>384.02</v>
      </c>
      <c r="AF459" s="49"/>
      <c r="AG459" s="49">
        <v>0</v>
      </c>
      <c r="AH459" s="49"/>
      <c r="AI459" s="49">
        <f t="shared" si="21"/>
        <v>46183.689999999995</v>
      </c>
      <c r="AK459" s="6" t="str">
        <f>'Gen Rev'!A459</f>
        <v>Old Washington</v>
      </c>
      <c r="AL459" s="6" t="str">
        <f t="shared" si="19"/>
        <v>Old Washington</v>
      </c>
      <c r="AM459" s="6" t="b">
        <f t="shared" si="20"/>
        <v>1</v>
      </c>
    </row>
    <row r="460" spans="1:39" x14ac:dyDescent="0.2">
      <c r="A460" s="6" t="s">
        <v>784</v>
      </c>
      <c r="C460" s="6" t="s">
        <v>293</v>
      </c>
      <c r="E460" s="49">
        <v>1472752</v>
      </c>
      <c r="F460" s="49"/>
      <c r="G460" s="49">
        <v>3423632</v>
      </c>
      <c r="H460" s="49"/>
      <c r="I460" s="49">
        <v>818652</v>
      </c>
      <c r="J460" s="49"/>
      <c r="K460" s="49">
        <v>595765</v>
      </c>
      <c r="L460" s="49"/>
      <c r="M460" s="49">
        <v>207178</v>
      </c>
      <c r="N460" s="49"/>
      <c r="O460" s="49">
        <v>145539</v>
      </c>
      <c r="P460" s="49"/>
      <c r="Q460" s="49">
        <v>55266</v>
      </c>
      <c r="R460" s="49"/>
      <c r="S460" s="49">
        <v>425608</v>
      </c>
      <c r="T460" s="49"/>
      <c r="U460" s="49">
        <v>0</v>
      </c>
      <c r="V460" s="49"/>
      <c r="W460" s="49">
        <v>1002699</v>
      </c>
      <c r="X460" s="49"/>
      <c r="Y460" s="49">
        <v>0</v>
      </c>
      <c r="Z460" s="49"/>
      <c r="AA460" s="49">
        <v>710699</v>
      </c>
      <c r="AB460" s="49"/>
      <c r="AC460" s="49">
        <v>0</v>
      </c>
      <c r="AD460" s="49"/>
      <c r="AE460" s="49">
        <v>0</v>
      </c>
      <c r="AF460" s="49"/>
      <c r="AG460" s="49">
        <v>0</v>
      </c>
      <c r="AH460" s="49"/>
      <c r="AI460" s="49">
        <f t="shared" si="21"/>
        <v>8857790</v>
      </c>
      <c r="AK460" s="6" t="str">
        <f>'Gen Rev'!A460</f>
        <v xml:space="preserve">Orange </v>
      </c>
      <c r="AL460" s="6" t="str">
        <f t="shared" si="19"/>
        <v xml:space="preserve">Orange </v>
      </c>
      <c r="AM460" s="6" t="b">
        <f t="shared" si="20"/>
        <v>1</v>
      </c>
    </row>
    <row r="461" spans="1:39" x14ac:dyDescent="0.2">
      <c r="A461" s="6" t="s">
        <v>214</v>
      </c>
      <c r="C461" s="6" t="s">
        <v>518</v>
      </c>
      <c r="E461" s="49">
        <v>31221.46</v>
      </c>
      <c r="F461" s="49"/>
      <c r="G461" s="49">
        <v>0</v>
      </c>
      <c r="H461" s="49"/>
      <c r="I461" s="49">
        <v>20487.87</v>
      </c>
      <c r="J461" s="49"/>
      <c r="K461" s="49">
        <v>3711.18</v>
      </c>
      <c r="L461" s="49"/>
      <c r="M461" s="49">
        <v>0</v>
      </c>
      <c r="N461" s="49"/>
      <c r="O461" s="49">
        <v>197</v>
      </c>
      <c r="P461" s="49"/>
      <c r="Q461" s="49">
        <v>12.79</v>
      </c>
      <c r="R461" s="49"/>
      <c r="S461" s="49">
        <v>6590.74</v>
      </c>
      <c r="T461" s="49"/>
      <c r="U461" s="49">
        <v>0</v>
      </c>
      <c r="V461" s="49"/>
      <c r="W461" s="49">
        <v>0</v>
      </c>
      <c r="X461" s="49"/>
      <c r="Y461" s="49">
        <v>0</v>
      </c>
      <c r="Z461" s="49"/>
      <c r="AA461" s="49">
        <v>0</v>
      </c>
      <c r="AB461" s="49"/>
      <c r="AC461" s="49">
        <v>0</v>
      </c>
      <c r="AD461" s="49"/>
      <c r="AE461" s="49">
        <v>0</v>
      </c>
      <c r="AF461" s="49"/>
      <c r="AG461" s="49">
        <v>0</v>
      </c>
      <c r="AH461" s="49"/>
      <c r="AI461" s="49">
        <f t="shared" si="21"/>
        <v>62221.04</v>
      </c>
      <c r="AK461" s="6" t="str">
        <f>'Gen Rev'!A461</f>
        <v>Orangeville</v>
      </c>
      <c r="AL461" s="6" t="str">
        <f t="shared" si="19"/>
        <v>Orangeville</v>
      </c>
      <c r="AM461" s="6" t="b">
        <f t="shared" si="20"/>
        <v>1</v>
      </c>
    </row>
    <row r="462" spans="1:39" x14ac:dyDescent="0.2">
      <c r="A462" s="6" t="s">
        <v>175</v>
      </c>
      <c r="C462" s="6" t="s">
        <v>467</v>
      </c>
      <c r="E462" s="49">
        <v>3628.09</v>
      </c>
      <c r="F462" s="49"/>
      <c r="G462" s="49">
        <v>0</v>
      </c>
      <c r="H462" s="49"/>
      <c r="I462" s="49">
        <v>30637.53</v>
      </c>
      <c r="J462" s="49"/>
      <c r="K462" s="49">
        <v>0</v>
      </c>
      <c r="L462" s="49"/>
      <c r="M462" s="49">
        <v>0</v>
      </c>
      <c r="N462" s="49"/>
      <c r="O462" s="49">
        <v>2677.86</v>
      </c>
      <c r="P462" s="49"/>
      <c r="Q462" s="49">
        <v>7.89</v>
      </c>
      <c r="R462" s="49"/>
      <c r="S462" s="49">
        <v>3</v>
      </c>
      <c r="T462" s="49"/>
      <c r="U462" s="49">
        <v>0</v>
      </c>
      <c r="V462" s="49"/>
      <c r="W462" s="49">
        <v>0</v>
      </c>
      <c r="X462" s="49"/>
      <c r="Y462" s="49">
        <v>0</v>
      </c>
      <c r="Z462" s="49"/>
      <c r="AA462" s="49">
        <v>0</v>
      </c>
      <c r="AB462" s="49"/>
      <c r="AC462" s="49">
        <v>0</v>
      </c>
      <c r="AD462" s="49"/>
      <c r="AE462" s="49">
        <v>0</v>
      </c>
      <c r="AF462" s="49"/>
      <c r="AG462" s="49">
        <v>0</v>
      </c>
      <c r="AH462" s="49"/>
      <c r="AI462" s="49">
        <f t="shared" si="21"/>
        <v>36954.369999999995</v>
      </c>
      <c r="AK462" s="6" t="str">
        <f>'Gen Rev'!A462</f>
        <v>Orient</v>
      </c>
      <c r="AL462" s="6" t="str">
        <f t="shared" si="19"/>
        <v>Orient</v>
      </c>
      <c r="AM462" s="6" t="b">
        <f t="shared" si="20"/>
        <v>1</v>
      </c>
    </row>
    <row r="463" spans="1:39" x14ac:dyDescent="0.2">
      <c r="A463" s="6" t="s">
        <v>312</v>
      </c>
      <c r="C463" s="6" t="s">
        <v>306</v>
      </c>
      <c r="E463" s="49">
        <v>7838</v>
      </c>
      <c r="F463" s="49"/>
      <c r="G463" s="49">
        <v>76430</v>
      </c>
      <c r="H463" s="49"/>
      <c r="I463" s="49">
        <f>18578+23123</f>
        <v>41701</v>
      </c>
      <c r="J463" s="49"/>
      <c r="K463" s="49">
        <v>1446</v>
      </c>
      <c r="L463" s="49"/>
      <c r="M463" s="49">
        <v>0</v>
      </c>
      <c r="N463" s="49"/>
      <c r="O463" s="49">
        <v>1864</v>
      </c>
      <c r="P463" s="49"/>
      <c r="Q463" s="49">
        <f>571+5</f>
        <v>576</v>
      </c>
      <c r="R463" s="49"/>
      <c r="S463" s="49">
        <v>12754</v>
      </c>
      <c r="T463" s="49"/>
      <c r="U463" s="49">
        <v>0</v>
      </c>
      <c r="V463" s="49"/>
      <c r="W463" s="49">
        <v>0</v>
      </c>
      <c r="X463" s="49"/>
      <c r="Y463" s="49">
        <v>0</v>
      </c>
      <c r="Z463" s="49"/>
      <c r="AA463" s="49">
        <v>0</v>
      </c>
      <c r="AB463" s="49"/>
      <c r="AC463" s="49">
        <v>0</v>
      </c>
      <c r="AD463" s="49"/>
      <c r="AE463" s="49">
        <v>0</v>
      </c>
      <c r="AF463" s="49"/>
      <c r="AG463" s="49">
        <v>0</v>
      </c>
      <c r="AH463" s="49"/>
      <c r="AI463" s="49">
        <f t="shared" si="21"/>
        <v>142609</v>
      </c>
      <c r="AK463" s="6" t="str">
        <f>'Gen Rev'!A463</f>
        <v>Osgood</v>
      </c>
      <c r="AL463" s="6" t="str">
        <f t="shared" si="19"/>
        <v>Osgood</v>
      </c>
      <c r="AM463" s="6" t="b">
        <f t="shared" si="20"/>
        <v>1</v>
      </c>
    </row>
    <row r="464" spans="1:39" x14ac:dyDescent="0.2">
      <c r="A464" s="6" t="s">
        <v>321</v>
      </c>
      <c r="C464" s="6" t="s">
        <v>320</v>
      </c>
      <c r="E464" s="49">
        <v>29318</v>
      </c>
      <c r="F464" s="49"/>
      <c r="G464" s="49">
        <v>0</v>
      </c>
      <c r="H464" s="49"/>
      <c r="I464" s="49">
        <v>187597</v>
      </c>
      <c r="J464" s="49"/>
      <c r="K464" s="49">
        <v>0</v>
      </c>
      <c r="L464" s="49"/>
      <c r="M464" s="49">
        <v>0</v>
      </c>
      <c r="N464" s="49"/>
      <c r="O464" s="49">
        <v>7726</v>
      </c>
      <c r="P464" s="49"/>
      <c r="Q464" s="49">
        <v>1096</v>
      </c>
      <c r="R464" s="49"/>
      <c r="S464" s="49">
        <f>823+2500+2793</f>
        <v>6116</v>
      </c>
      <c r="T464" s="49"/>
      <c r="U464" s="49">
        <v>0</v>
      </c>
      <c r="V464" s="49"/>
      <c r="W464" s="49">
        <v>0</v>
      </c>
      <c r="X464" s="49"/>
      <c r="Y464" s="49">
        <v>0</v>
      </c>
      <c r="Z464" s="49"/>
      <c r="AA464" s="49">
        <v>0</v>
      </c>
      <c r="AB464" s="49"/>
      <c r="AC464" s="49">
        <v>0</v>
      </c>
      <c r="AD464" s="49"/>
      <c r="AE464" s="49">
        <v>0</v>
      </c>
      <c r="AF464" s="49"/>
      <c r="AG464" s="49">
        <v>0</v>
      </c>
      <c r="AH464" s="49"/>
      <c r="AI464" s="49">
        <f t="shared" si="21"/>
        <v>231853</v>
      </c>
      <c r="AK464" s="6" t="str">
        <f>'Gen Rev'!A464</f>
        <v>Ostrander</v>
      </c>
      <c r="AL464" s="6" t="str">
        <f t="shared" si="19"/>
        <v>Ostrander</v>
      </c>
      <c r="AM464" s="6" t="b">
        <f t="shared" si="20"/>
        <v>1</v>
      </c>
    </row>
    <row r="465" spans="1:39" x14ac:dyDescent="0.2">
      <c r="A465" s="6" t="s">
        <v>192</v>
      </c>
      <c r="C465" s="6" t="s">
        <v>476</v>
      </c>
      <c r="E465" s="49">
        <v>310313.78000000003</v>
      </c>
      <c r="F465" s="49"/>
      <c r="G465" s="49">
        <v>1677131.67</v>
      </c>
      <c r="H465" s="49"/>
      <c r="I465" s="49">
        <v>1486560.44</v>
      </c>
      <c r="J465" s="49"/>
      <c r="K465" s="49">
        <v>1182.49</v>
      </c>
      <c r="L465" s="49"/>
      <c r="M465" s="49">
        <v>157080.26</v>
      </c>
      <c r="N465" s="49"/>
      <c r="O465" s="49">
        <v>47278.43</v>
      </c>
      <c r="P465" s="49"/>
      <c r="Q465" s="49">
        <v>23705.87</v>
      </c>
      <c r="R465" s="49"/>
      <c r="S465" s="49">
        <v>187250.94</v>
      </c>
      <c r="T465" s="49"/>
      <c r="U465" s="49">
        <v>0</v>
      </c>
      <c r="V465" s="49"/>
      <c r="W465" s="49">
        <v>43622.41</v>
      </c>
      <c r="X465" s="49"/>
      <c r="Y465" s="49">
        <v>124913.11</v>
      </c>
      <c r="Z465" s="49"/>
      <c r="AA465" s="49">
        <v>0</v>
      </c>
      <c r="AB465" s="49"/>
      <c r="AC465" s="49">
        <v>759034.25</v>
      </c>
      <c r="AD465" s="49"/>
      <c r="AE465" s="49">
        <v>0</v>
      </c>
      <c r="AF465" s="49"/>
      <c r="AG465" s="49">
        <v>0</v>
      </c>
      <c r="AH465" s="49"/>
      <c r="AI465" s="49">
        <f t="shared" si="21"/>
        <v>4818073.6500000004</v>
      </c>
      <c r="AK465" s="6" t="str">
        <f>'Gen Rev'!A465</f>
        <v>Ottawa</v>
      </c>
      <c r="AL465" s="6" t="str">
        <f t="shared" si="19"/>
        <v>Ottawa</v>
      </c>
      <c r="AM465" s="6" t="b">
        <f t="shared" si="20"/>
        <v>1</v>
      </c>
    </row>
    <row r="466" spans="1:39" x14ac:dyDescent="0.2">
      <c r="A466" s="8" t="s">
        <v>424</v>
      </c>
      <c r="B466" s="8"/>
      <c r="C466" s="8" t="s">
        <v>423</v>
      </c>
      <c r="D466" s="8"/>
      <c r="E466" s="49">
        <v>537039</v>
      </c>
      <c r="F466" s="49"/>
      <c r="G466" s="49">
        <v>3628362</v>
      </c>
      <c r="H466" s="49"/>
      <c r="I466" s="49">
        <v>571229</v>
      </c>
      <c r="J466" s="49"/>
      <c r="K466" s="49">
        <v>63405</v>
      </c>
      <c r="L466" s="49"/>
      <c r="M466" s="49">
        <v>116851</v>
      </c>
      <c r="N466" s="49"/>
      <c r="O466" s="49">
        <v>75797</v>
      </c>
      <c r="P466" s="49"/>
      <c r="Q466" s="49">
        <v>36554</v>
      </c>
      <c r="R466" s="49"/>
      <c r="S466" s="49">
        <v>170699</v>
      </c>
      <c r="T466" s="49"/>
      <c r="U466" s="49">
        <v>0</v>
      </c>
      <c r="V466" s="49"/>
      <c r="W466" s="49">
        <v>0</v>
      </c>
      <c r="X466" s="49"/>
      <c r="Y466" s="49">
        <v>0</v>
      </c>
      <c r="Z466" s="49"/>
      <c r="AA466" s="49">
        <v>850000</v>
      </c>
      <c r="AB466" s="49"/>
      <c r="AC466" s="49">
        <v>0</v>
      </c>
      <c r="AD466" s="49"/>
      <c r="AE466" s="49">
        <v>0</v>
      </c>
      <c r="AF466" s="49"/>
      <c r="AG466" s="49">
        <v>0</v>
      </c>
      <c r="AH466" s="49"/>
      <c r="AI466" s="49">
        <f t="shared" si="21"/>
        <v>6049936</v>
      </c>
      <c r="AK466" s="6" t="str">
        <f>'Gen Rev'!A466</f>
        <v>Ottawa Hills</v>
      </c>
      <c r="AL466" s="6" t="str">
        <f t="shared" si="19"/>
        <v>Ottawa Hills</v>
      </c>
      <c r="AM466" s="6" t="b">
        <f t="shared" si="20"/>
        <v>1</v>
      </c>
    </row>
    <row r="467" spans="1:39" x14ac:dyDescent="0.2">
      <c r="A467" s="6" t="s">
        <v>478</v>
      </c>
      <c r="C467" s="6" t="s">
        <v>476</v>
      </c>
      <c r="E467" s="49">
        <v>93836.77</v>
      </c>
      <c r="F467" s="49"/>
      <c r="G467" s="49">
        <v>483290.26</v>
      </c>
      <c r="H467" s="49"/>
      <c r="I467" s="49">
        <v>240957.69</v>
      </c>
      <c r="J467" s="49"/>
      <c r="K467" s="49">
        <v>0</v>
      </c>
      <c r="L467" s="49"/>
      <c r="M467" s="49">
        <v>37366.22</v>
      </c>
      <c r="N467" s="49"/>
      <c r="O467" s="49">
        <v>1621.5</v>
      </c>
      <c r="P467" s="49"/>
      <c r="Q467" s="49">
        <v>1366.43</v>
      </c>
      <c r="R467" s="49"/>
      <c r="S467" s="49">
        <v>22846.639999999999</v>
      </c>
      <c r="T467" s="49"/>
      <c r="U467" s="49">
        <v>0</v>
      </c>
      <c r="V467" s="49"/>
      <c r="W467" s="49">
        <v>0</v>
      </c>
      <c r="X467" s="49"/>
      <c r="Y467" s="49">
        <v>0</v>
      </c>
      <c r="Z467" s="49"/>
      <c r="AA467" s="49">
        <v>252344.47</v>
      </c>
      <c r="AB467" s="49"/>
      <c r="AC467" s="49">
        <v>0</v>
      </c>
      <c r="AD467" s="49"/>
      <c r="AE467" s="49">
        <v>247468.21</v>
      </c>
      <c r="AF467" s="49"/>
      <c r="AG467" s="49">
        <v>0</v>
      </c>
      <c r="AH467" s="49"/>
      <c r="AI467" s="49">
        <f t="shared" si="21"/>
        <v>1381098.19</v>
      </c>
      <c r="AK467" s="6" t="str">
        <f>'Gen Rev'!A467</f>
        <v>Ottoville</v>
      </c>
      <c r="AL467" s="6" t="str">
        <f t="shared" si="19"/>
        <v>Ottoville</v>
      </c>
      <c r="AM467" s="6" t="b">
        <f t="shared" si="20"/>
        <v>1</v>
      </c>
    </row>
    <row r="468" spans="1:39" x14ac:dyDescent="0.2">
      <c r="A468" s="6" t="s">
        <v>201</v>
      </c>
      <c r="C468" s="6" t="s">
        <v>491</v>
      </c>
      <c r="E468" s="49">
        <v>11645.19</v>
      </c>
      <c r="F468" s="49"/>
      <c r="G468" s="49">
        <v>0</v>
      </c>
      <c r="H468" s="49"/>
      <c r="I468" s="49">
        <v>5082.08</v>
      </c>
      <c r="J468" s="49"/>
      <c r="K468" s="49">
        <v>0</v>
      </c>
      <c r="L468" s="49"/>
      <c r="M468" s="49">
        <v>35144.5</v>
      </c>
      <c r="N468" s="49"/>
      <c r="O468" s="49">
        <v>0</v>
      </c>
      <c r="P468" s="49"/>
      <c r="Q468" s="49">
        <v>501.52</v>
      </c>
      <c r="R468" s="49"/>
      <c r="S468" s="49">
        <v>2896.4</v>
      </c>
      <c r="T468" s="49"/>
      <c r="U468" s="49">
        <v>0</v>
      </c>
      <c r="V468" s="49"/>
      <c r="W468" s="49">
        <v>0</v>
      </c>
      <c r="X468" s="49"/>
      <c r="Y468" s="49">
        <v>0</v>
      </c>
      <c r="Z468" s="49"/>
      <c r="AA468" s="49">
        <v>0</v>
      </c>
      <c r="AB468" s="49"/>
      <c r="AC468" s="49">
        <v>0</v>
      </c>
      <c r="AD468" s="49"/>
      <c r="AE468" s="49">
        <v>0</v>
      </c>
      <c r="AF468" s="49"/>
      <c r="AG468" s="49">
        <v>0</v>
      </c>
      <c r="AH468" s="49"/>
      <c r="AI468" s="49">
        <f t="shared" si="21"/>
        <v>55269.69</v>
      </c>
      <c r="AK468" s="6" t="str">
        <f>'Gen Rev'!A468</f>
        <v>Otway</v>
      </c>
      <c r="AL468" s="6" t="str">
        <f t="shared" si="19"/>
        <v>Otway</v>
      </c>
      <c r="AM468" s="6" t="b">
        <f t="shared" si="20"/>
        <v>1</v>
      </c>
    </row>
    <row r="469" spans="1:39" x14ac:dyDescent="0.2">
      <c r="A469" s="6" t="s">
        <v>38</v>
      </c>
      <c r="C469" s="6" t="s">
        <v>277</v>
      </c>
      <c r="E469" s="49">
        <v>76364.7</v>
      </c>
      <c r="F469" s="49"/>
      <c r="G469" s="49">
        <v>109060.2</v>
      </c>
      <c r="H469" s="49"/>
      <c r="I469" s="49">
        <v>77741.63</v>
      </c>
      <c r="J469" s="49"/>
      <c r="K469" s="49">
        <v>0</v>
      </c>
      <c r="L469" s="49"/>
      <c r="M469" s="49">
        <v>1040</v>
      </c>
      <c r="N469" s="49"/>
      <c r="O469" s="49">
        <v>66731.8</v>
      </c>
      <c r="P469" s="49"/>
      <c r="Q469" s="49">
        <v>333.54</v>
      </c>
      <c r="R469" s="49"/>
      <c r="S469" s="49">
        <v>24006.18</v>
      </c>
      <c r="T469" s="49"/>
      <c r="U469" s="49">
        <v>0</v>
      </c>
      <c r="V469" s="49"/>
      <c r="W469" s="49">
        <v>0</v>
      </c>
      <c r="X469" s="49"/>
      <c r="Y469" s="49">
        <v>0</v>
      </c>
      <c r="Z469" s="49"/>
      <c r="AA469" s="49">
        <v>0</v>
      </c>
      <c r="AB469" s="49"/>
      <c r="AC469" s="49">
        <v>0</v>
      </c>
      <c r="AD469" s="49"/>
      <c r="AE469" s="49">
        <v>0</v>
      </c>
      <c r="AF469" s="49"/>
      <c r="AG469" s="49">
        <v>0</v>
      </c>
      <c r="AH469" s="49"/>
      <c r="AI469" s="49">
        <f t="shared" si="21"/>
        <v>355278.05</v>
      </c>
      <c r="AK469" s="6" t="str">
        <f>'Gen Rev'!A469</f>
        <v>Owensville</v>
      </c>
      <c r="AL469" s="6" t="str">
        <f t="shared" si="19"/>
        <v>Owensville</v>
      </c>
      <c r="AM469" s="6" t="b">
        <f t="shared" si="20"/>
        <v>1</v>
      </c>
    </row>
    <row r="470" spans="1:39" x14ac:dyDescent="0.2">
      <c r="A470" s="6" t="s">
        <v>479</v>
      </c>
      <c r="C470" s="6" t="s">
        <v>476</v>
      </c>
      <c r="E470" s="49">
        <v>37116</v>
      </c>
      <c r="F470" s="49"/>
      <c r="G470" s="49">
        <v>387475</v>
      </c>
      <c r="H470" s="49"/>
      <c r="I470" s="49">
        <v>199516</v>
      </c>
      <c r="J470" s="49"/>
      <c r="K470" s="49">
        <v>0</v>
      </c>
      <c r="L470" s="49"/>
      <c r="M470" s="49">
        <v>20145</v>
      </c>
      <c r="N470" s="49"/>
      <c r="O470" s="49">
        <v>2556</v>
      </c>
      <c r="P470" s="49"/>
      <c r="Q470" s="49">
        <v>954</v>
      </c>
      <c r="R470" s="49"/>
      <c r="S470" s="49">
        <f>16408+8005</f>
        <v>24413</v>
      </c>
      <c r="T470" s="49"/>
      <c r="U470" s="49">
        <v>0</v>
      </c>
      <c r="V470" s="49"/>
      <c r="W470" s="49">
        <v>0</v>
      </c>
      <c r="X470" s="49"/>
      <c r="Y470" s="49">
        <v>27700</v>
      </c>
      <c r="Z470" s="49"/>
      <c r="AA470" s="49">
        <v>90723</v>
      </c>
      <c r="AB470" s="49"/>
      <c r="AC470" s="49">
        <v>0</v>
      </c>
      <c r="AD470" s="49"/>
      <c r="AE470" s="49">
        <v>14575</v>
      </c>
      <c r="AF470" s="49"/>
      <c r="AG470" s="49">
        <v>81498</v>
      </c>
      <c r="AH470" s="49"/>
      <c r="AI470" s="49">
        <f t="shared" si="21"/>
        <v>886671</v>
      </c>
      <c r="AK470" s="6" t="str">
        <f>'Gen Rev'!A470</f>
        <v>Pandora</v>
      </c>
      <c r="AL470" s="6" t="str">
        <f t="shared" si="19"/>
        <v>Pandora</v>
      </c>
      <c r="AM470" s="6" t="b">
        <f t="shared" si="20"/>
        <v>1</v>
      </c>
    </row>
    <row r="471" spans="1:39" x14ac:dyDescent="0.2">
      <c r="A471" s="6" t="s">
        <v>526</v>
      </c>
      <c r="C471" s="6" t="s">
        <v>521</v>
      </c>
      <c r="E471" s="49">
        <v>4896.38</v>
      </c>
      <c r="F471" s="49"/>
      <c r="G471" s="49">
        <v>0</v>
      </c>
      <c r="H471" s="49"/>
      <c r="I471" s="49">
        <v>47554.8</v>
      </c>
      <c r="J471" s="49"/>
      <c r="K471" s="49">
        <v>0</v>
      </c>
      <c r="L471" s="49"/>
      <c r="M471" s="49">
        <v>0</v>
      </c>
      <c r="N471" s="49"/>
      <c r="O471" s="49">
        <v>0</v>
      </c>
      <c r="P471" s="49"/>
      <c r="Q471" s="49">
        <v>10.119999999999999</v>
      </c>
      <c r="R471" s="49"/>
      <c r="S471" s="49">
        <v>0</v>
      </c>
      <c r="T471" s="49"/>
      <c r="U471" s="49">
        <v>0</v>
      </c>
      <c r="V471" s="49"/>
      <c r="W471" s="49">
        <v>0</v>
      </c>
      <c r="X471" s="49"/>
      <c r="Y471" s="49">
        <v>0</v>
      </c>
      <c r="Z471" s="49"/>
      <c r="AA471" s="49">
        <v>0</v>
      </c>
      <c r="AB471" s="49"/>
      <c r="AC471" s="49">
        <v>0</v>
      </c>
      <c r="AD471" s="49"/>
      <c r="AE471" s="49">
        <v>73.34</v>
      </c>
      <c r="AF471" s="49"/>
      <c r="AG471" s="49">
        <v>0</v>
      </c>
      <c r="AH471" s="49"/>
      <c r="AI471" s="49">
        <f t="shared" si="21"/>
        <v>52534.64</v>
      </c>
      <c r="AK471" s="6" t="str">
        <f>'Gen Rev'!A471</f>
        <v>Parral</v>
      </c>
      <c r="AL471" s="6" t="str">
        <f t="shared" si="19"/>
        <v>Parral</v>
      </c>
      <c r="AM471" s="6" t="b">
        <f t="shared" si="20"/>
        <v>1</v>
      </c>
    </row>
    <row r="472" spans="1:39" x14ac:dyDescent="0.2">
      <c r="A472" s="6" t="s">
        <v>370</v>
      </c>
      <c r="C472" s="6" t="s">
        <v>366</v>
      </c>
      <c r="E472" s="49">
        <v>932</v>
      </c>
      <c r="F472" s="49"/>
      <c r="G472" s="49">
        <v>0</v>
      </c>
      <c r="H472" s="49"/>
      <c r="I472" s="49">
        <v>5295</v>
      </c>
      <c r="J472" s="49"/>
      <c r="K472" s="49">
        <v>0</v>
      </c>
      <c r="L472" s="49"/>
      <c r="M472" s="49">
        <v>0</v>
      </c>
      <c r="N472" s="49"/>
      <c r="O472" s="49">
        <v>834</v>
      </c>
      <c r="P472" s="49"/>
      <c r="Q472" s="49">
        <v>28</v>
      </c>
      <c r="R472" s="49"/>
      <c r="S472" s="49">
        <v>1767</v>
      </c>
      <c r="T472" s="49"/>
      <c r="U472" s="49">
        <v>0</v>
      </c>
      <c r="V472" s="49"/>
      <c r="W472" s="49">
        <v>0</v>
      </c>
      <c r="X472" s="49"/>
      <c r="Y472" s="49">
        <v>0</v>
      </c>
      <c r="Z472" s="49"/>
      <c r="AA472" s="49">
        <v>5413</v>
      </c>
      <c r="AB472" s="49"/>
      <c r="AC472" s="49">
        <v>0</v>
      </c>
      <c r="AD472" s="49"/>
      <c r="AE472" s="49">
        <v>0</v>
      </c>
      <c r="AF472" s="49"/>
      <c r="AG472" s="49">
        <v>0</v>
      </c>
      <c r="AH472" s="49"/>
      <c r="AI472" s="49">
        <f t="shared" si="21"/>
        <v>14269</v>
      </c>
      <c r="AK472" s="6" t="str">
        <f>'Gen Rev'!A472</f>
        <v>Patterson</v>
      </c>
      <c r="AL472" s="6" t="str">
        <f t="shared" si="19"/>
        <v>Patterson</v>
      </c>
      <c r="AM472" s="6" t="b">
        <f t="shared" si="20"/>
        <v>1</v>
      </c>
    </row>
    <row r="473" spans="1:39" x14ac:dyDescent="0.2">
      <c r="A473" s="6" t="s">
        <v>460</v>
      </c>
      <c r="C473" s="6" t="s">
        <v>460</v>
      </c>
      <c r="E473" s="49">
        <f>427213+12970</f>
        <v>440183</v>
      </c>
      <c r="F473" s="49"/>
      <c r="G473" s="49">
        <v>452789</v>
      </c>
      <c r="H473" s="49"/>
      <c r="I473" s="49">
        <v>3773794</v>
      </c>
      <c r="J473" s="49"/>
      <c r="K473" s="49">
        <v>0</v>
      </c>
      <c r="L473" s="49"/>
      <c r="M473" s="49">
        <v>222825</v>
      </c>
      <c r="N473" s="49"/>
      <c r="O473" s="49">
        <v>41166</v>
      </c>
      <c r="P473" s="49"/>
      <c r="Q473" s="49">
        <v>5898</v>
      </c>
      <c r="R473" s="49"/>
      <c r="S473" s="49">
        <v>71838</v>
      </c>
      <c r="T473" s="49"/>
      <c r="U473" s="49">
        <v>0</v>
      </c>
      <c r="V473" s="49"/>
      <c r="W473" s="49">
        <f>589000+5000592</f>
        <v>5589592</v>
      </c>
      <c r="X473" s="49"/>
      <c r="Y473" s="49">
        <v>0</v>
      </c>
      <c r="Z473" s="49"/>
      <c r="AA473" s="49">
        <v>196100</v>
      </c>
      <c r="AB473" s="49"/>
      <c r="AC473" s="49">
        <v>0</v>
      </c>
      <c r="AD473" s="49"/>
      <c r="AE473" s="49">
        <v>0</v>
      </c>
      <c r="AF473" s="49"/>
      <c r="AG473" s="49">
        <v>69664</v>
      </c>
      <c r="AH473" s="49"/>
      <c r="AI473" s="49">
        <f t="shared" si="21"/>
        <v>10863849</v>
      </c>
      <c r="AK473" s="6" t="str">
        <f>'Gen Rev'!A473</f>
        <v>Paulding</v>
      </c>
      <c r="AL473" s="6" t="str">
        <f t="shared" si="19"/>
        <v>Paulding</v>
      </c>
      <c r="AM473" s="6" t="b">
        <f t="shared" si="20"/>
        <v>1</v>
      </c>
    </row>
    <row r="474" spans="1:39" x14ac:dyDescent="0.2">
      <c r="A474" s="6" t="s">
        <v>462</v>
      </c>
      <c r="C474" s="6" t="s">
        <v>460</v>
      </c>
      <c r="E474" s="49">
        <v>177878.37</v>
      </c>
      <c r="F474" s="49"/>
      <c r="G474" s="49">
        <v>0</v>
      </c>
      <c r="H474" s="49"/>
      <c r="I474" s="49">
        <v>295023.25</v>
      </c>
      <c r="J474" s="49"/>
      <c r="K474" s="49">
        <v>0</v>
      </c>
      <c r="L474" s="49"/>
      <c r="M474" s="49">
        <v>122640.35</v>
      </c>
      <c r="N474" s="49"/>
      <c r="O474" s="49">
        <v>6035.92</v>
      </c>
      <c r="P474" s="49"/>
      <c r="Q474" s="49">
        <v>641.15</v>
      </c>
      <c r="R474" s="49"/>
      <c r="S474" s="49">
        <v>94564.58</v>
      </c>
      <c r="T474" s="49"/>
      <c r="U474" s="49">
        <v>0</v>
      </c>
      <c r="V474" s="49"/>
      <c r="W474" s="49">
        <v>0</v>
      </c>
      <c r="X474" s="49"/>
      <c r="Y474" s="49">
        <v>0</v>
      </c>
      <c r="Z474" s="49"/>
      <c r="AA474" s="49">
        <v>52144.69</v>
      </c>
      <c r="AB474" s="49"/>
      <c r="AC474" s="49">
        <v>0</v>
      </c>
      <c r="AD474" s="49"/>
      <c r="AE474" s="49">
        <v>0</v>
      </c>
      <c r="AF474" s="49"/>
      <c r="AG474" s="49">
        <v>0</v>
      </c>
      <c r="AH474" s="49"/>
      <c r="AI474" s="49">
        <f t="shared" si="21"/>
        <v>748928.31</v>
      </c>
      <c r="AK474" s="6" t="str">
        <f>'Gen Rev'!A474</f>
        <v>Payne</v>
      </c>
      <c r="AL474" s="6" t="str">
        <f t="shared" si="19"/>
        <v>Payne</v>
      </c>
      <c r="AM474" s="6" t="b">
        <f t="shared" si="20"/>
        <v>1</v>
      </c>
    </row>
    <row r="475" spans="1:39" x14ac:dyDescent="0.2"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</row>
    <row r="476" spans="1:39" ht="12.75" x14ac:dyDescent="0.2"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88" t="s">
        <v>733</v>
      </c>
    </row>
    <row r="477" spans="1:39" x14ac:dyDescent="0.2"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</row>
    <row r="478" spans="1:39" x14ac:dyDescent="0.2">
      <c r="A478" s="6" t="s">
        <v>628</v>
      </c>
      <c r="C478" s="6" t="s">
        <v>616</v>
      </c>
      <c r="E478" s="52">
        <v>233038.13</v>
      </c>
      <c r="F478" s="52"/>
      <c r="G478" s="52">
        <v>0</v>
      </c>
      <c r="H478" s="52"/>
      <c r="I478" s="52">
        <v>124283.63</v>
      </c>
      <c r="J478" s="52"/>
      <c r="K478" s="52">
        <v>0</v>
      </c>
      <c r="L478" s="52"/>
      <c r="M478" s="52">
        <v>10969.44</v>
      </c>
      <c r="N478" s="52"/>
      <c r="O478" s="52">
        <v>28323.26</v>
      </c>
      <c r="P478" s="52"/>
      <c r="Q478" s="52">
        <v>341.81</v>
      </c>
      <c r="R478" s="52"/>
      <c r="S478" s="52">
        <v>17985.87</v>
      </c>
      <c r="T478" s="52"/>
      <c r="U478" s="52">
        <v>0</v>
      </c>
      <c r="V478" s="52"/>
      <c r="W478" s="52">
        <v>0</v>
      </c>
      <c r="X478" s="52"/>
      <c r="Y478" s="52">
        <v>0</v>
      </c>
      <c r="Z478" s="52"/>
      <c r="AA478" s="52">
        <v>0</v>
      </c>
      <c r="AB478" s="52"/>
      <c r="AC478" s="52">
        <v>0</v>
      </c>
      <c r="AD478" s="52"/>
      <c r="AE478" s="52">
        <v>3620.41</v>
      </c>
      <c r="AF478" s="52"/>
      <c r="AG478" s="52">
        <v>0</v>
      </c>
      <c r="AH478" s="49"/>
      <c r="AI478" s="52">
        <f t="shared" si="21"/>
        <v>418562.55</v>
      </c>
      <c r="AK478" s="6" t="str">
        <f>'Gen Rev'!A478</f>
        <v>Peebles</v>
      </c>
      <c r="AL478" s="6" t="str">
        <f t="shared" ref="AL478:AL541" si="22">A478</f>
        <v>Peebles</v>
      </c>
      <c r="AM478" s="6" t="b">
        <f t="shared" ref="AM478:AM541" si="23">AK478=AL478</f>
        <v>1</v>
      </c>
    </row>
    <row r="479" spans="1:39" x14ac:dyDescent="0.2">
      <c r="A479" s="6" t="s">
        <v>563</v>
      </c>
      <c r="C479" s="6" t="s">
        <v>558</v>
      </c>
      <c r="E479" s="49">
        <v>79679.25</v>
      </c>
      <c r="F479" s="49"/>
      <c r="G479" s="49">
        <v>336936.69</v>
      </c>
      <c r="H479" s="49"/>
      <c r="I479" s="49">
        <v>98596.88</v>
      </c>
      <c r="J479" s="49"/>
      <c r="K479" s="49">
        <v>108263.89</v>
      </c>
      <c r="L479" s="49"/>
      <c r="M479" s="49">
        <v>630</v>
      </c>
      <c r="N479" s="49"/>
      <c r="O479" s="49">
        <v>17413.23</v>
      </c>
      <c r="P479" s="49"/>
      <c r="Q479" s="49">
        <v>4823.0200000000004</v>
      </c>
      <c r="R479" s="49"/>
      <c r="S479" s="49">
        <v>16170.93</v>
      </c>
      <c r="T479" s="49"/>
      <c r="U479" s="49">
        <v>0</v>
      </c>
      <c r="V479" s="49"/>
      <c r="W479" s="49">
        <v>0</v>
      </c>
      <c r="X479" s="49"/>
      <c r="Y479" s="49">
        <v>0</v>
      </c>
      <c r="Z479" s="49"/>
      <c r="AA479" s="49">
        <v>250000</v>
      </c>
      <c r="AB479" s="49"/>
      <c r="AC479" s="49">
        <v>15000</v>
      </c>
      <c r="AD479" s="49"/>
      <c r="AE479" s="49">
        <v>1390.5</v>
      </c>
      <c r="AF479" s="49"/>
      <c r="AG479" s="49">
        <v>0</v>
      </c>
      <c r="AH479" s="49"/>
      <c r="AI479" s="49">
        <f t="shared" si="21"/>
        <v>928904.39</v>
      </c>
      <c r="AK479" s="6" t="str">
        <f>'Gen Rev'!A479</f>
        <v>Pemberville</v>
      </c>
      <c r="AL479" s="6" t="str">
        <f t="shared" si="22"/>
        <v>Pemberville</v>
      </c>
      <c r="AM479" s="6" t="b">
        <f t="shared" si="23"/>
        <v>1</v>
      </c>
    </row>
    <row r="480" spans="1:39" x14ac:dyDescent="0.2">
      <c r="A480" s="6" t="s">
        <v>513</v>
      </c>
      <c r="C480" s="6" t="s">
        <v>511</v>
      </c>
      <c r="E480" s="49">
        <v>104664.8</v>
      </c>
      <c r="F480" s="49"/>
      <c r="G480" s="49">
        <v>300540.62</v>
      </c>
      <c r="H480" s="49"/>
      <c r="I480" s="49">
        <v>164201.46</v>
      </c>
      <c r="J480" s="49"/>
      <c r="K480" s="49">
        <v>0</v>
      </c>
      <c r="L480" s="49"/>
      <c r="M480" s="49">
        <v>220469.94</v>
      </c>
      <c r="N480" s="49"/>
      <c r="O480" s="49">
        <v>44328.43</v>
      </c>
      <c r="P480" s="49"/>
      <c r="Q480" s="49">
        <v>53.6</v>
      </c>
      <c r="R480" s="49"/>
      <c r="S480" s="49">
        <v>13974.56</v>
      </c>
      <c r="T480" s="49"/>
      <c r="U480" s="49">
        <v>0</v>
      </c>
      <c r="V480" s="49"/>
      <c r="W480" s="49">
        <v>0</v>
      </c>
      <c r="X480" s="49"/>
      <c r="Y480" s="49">
        <v>0</v>
      </c>
      <c r="Z480" s="49"/>
      <c r="AA480" s="49">
        <v>1263.0999999999999</v>
      </c>
      <c r="AB480" s="49"/>
      <c r="AC480" s="49">
        <v>0</v>
      </c>
      <c r="AD480" s="49"/>
      <c r="AE480" s="49">
        <v>0</v>
      </c>
      <c r="AF480" s="49"/>
      <c r="AG480" s="49">
        <v>0</v>
      </c>
      <c r="AH480" s="49"/>
      <c r="AI480" s="49">
        <f t="shared" ref="AI480:AI546" si="24">SUM(E480:AG480)</f>
        <v>849496.51000000013</v>
      </c>
      <c r="AK480" s="6" t="str">
        <f>'Gen Rev'!A480</f>
        <v>Peninsula</v>
      </c>
      <c r="AL480" s="6" t="str">
        <f t="shared" si="22"/>
        <v>Peninsula</v>
      </c>
      <c r="AM480" s="6" t="b">
        <f t="shared" si="23"/>
        <v>1</v>
      </c>
    </row>
    <row r="481" spans="1:39" x14ac:dyDescent="0.2">
      <c r="A481" s="6" t="s">
        <v>402</v>
      </c>
      <c r="C481" s="6" t="s">
        <v>399</v>
      </c>
      <c r="E481" s="49">
        <v>65564</v>
      </c>
      <c r="F481" s="49"/>
      <c r="G481" s="49">
        <v>605424</v>
      </c>
      <c r="H481" s="49"/>
      <c r="I481" s="49">
        <v>309174</v>
      </c>
      <c r="J481" s="49"/>
      <c r="K481" s="49">
        <v>43874</v>
      </c>
      <c r="L481" s="49"/>
      <c r="M481" s="49">
        <v>5248</v>
      </c>
      <c r="N481" s="49"/>
      <c r="O481" s="49">
        <v>8971</v>
      </c>
      <c r="P481" s="49"/>
      <c r="Q481" s="49">
        <v>1251</v>
      </c>
      <c r="R481" s="49"/>
      <c r="S481" s="49">
        <v>6805</v>
      </c>
      <c r="T481" s="49"/>
      <c r="U481" s="49">
        <v>0</v>
      </c>
      <c r="V481" s="49"/>
      <c r="W481" s="49">
        <v>0</v>
      </c>
      <c r="X481" s="49"/>
      <c r="Y481" s="49">
        <v>19000</v>
      </c>
      <c r="Z481" s="49"/>
      <c r="AA481" s="49">
        <v>87313</v>
      </c>
      <c r="AB481" s="49"/>
      <c r="AC481" s="49">
        <v>0</v>
      </c>
      <c r="AD481" s="49"/>
      <c r="AE481" s="49">
        <v>0</v>
      </c>
      <c r="AF481" s="49"/>
      <c r="AG481" s="49">
        <v>0</v>
      </c>
      <c r="AH481" s="49"/>
      <c r="AI481" s="49">
        <f t="shared" si="24"/>
        <v>1152624</v>
      </c>
      <c r="AK481" s="6" t="str">
        <f>'Gen Rev'!A481</f>
        <v xml:space="preserve">Perry </v>
      </c>
      <c r="AL481" s="6" t="str">
        <f t="shared" si="22"/>
        <v xml:space="preserve">Perry </v>
      </c>
      <c r="AM481" s="6" t="b">
        <f t="shared" si="23"/>
        <v>1</v>
      </c>
    </row>
    <row r="482" spans="1:39" x14ac:dyDescent="0.2">
      <c r="A482" s="6" t="s">
        <v>629</v>
      </c>
      <c r="C482" s="6" t="s">
        <v>848</v>
      </c>
      <c r="E482" s="49">
        <v>23452.92</v>
      </c>
      <c r="F482" s="49"/>
      <c r="G482" s="49">
        <v>164018.85</v>
      </c>
      <c r="H482" s="49"/>
      <c r="I482" s="49">
        <v>559900.63</v>
      </c>
      <c r="J482" s="49"/>
      <c r="K482" s="49">
        <v>0</v>
      </c>
      <c r="L482" s="49"/>
      <c r="M482" s="49">
        <v>0</v>
      </c>
      <c r="N482" s="49"/>
      <c r="O482" s="49">
        <v>4988</v>
      </c>
      <c r="P482" s="49"/>
      <c r="Q482" s="49">
        <v>147.47999999999999</v>
      </c>
      <c r="R482" s="49"/>
      <c r="S482" s="49">
        <v>28358.45</v>
      </c>
      <c r="T482" s="49"/>
      <c r="U482" s="49">
        <v>0</v>
      </c>
      <c r="V482" s="49"/>
      <c r="W482" s="49">
        <v>0</v>
      </c>
      <c r="X482" s="49"/>
      <c r="Y482" s="49">
        <v>0</v>
      </c>
      <c r="Z482" s="49"/>
      <c r="AA482" s="49">
        <v>0</v>
      </c>
      <c r="AB482" s="49"/>
      <c r="AC482" s="49">
        <v>0</v>
      </c>
      <c r="AD482" s="49"/>
      <c r="AE482" s="49">
        <v>0</v>
      </c>
      <c r="AF482" s="49"/>
      <c r="AG482" s="49">
        <v>0</v>
      </c>
      <c r="AH482" s="49"/>
      <c r="AI482" s="49">
        <f t="shared" si="24"/>
        <v>780866.33</v>
      </c>
      <c r="AK482" s="6" t="str">
        <f>'Gen Rev'!A482</f>
        <v>Perrysville</v>
      </c>
      <c r="AL482" s="6" t="str">
        <f t="shared" si="22"/>
        <v>Perrysville</v>
      </c>
      <c r="AM482" s="6" t="b">
        <f t="shared" si="23"/>
        <v>1</v>
      </c>
    </row>
    <row r="483" spans="1:39" x14ac:dyDescent="0.2">
      <c r="A483" s="6" t="s">
        <v>448</v>
      </c>
      <c r="C483" s="6" t="s">
        <v>446</v>
      </c>
      <c r="E483" s="49">
        <v>75390</v>
      </c>
      <c r="F483" s="49"/>
      <c r="G483" s="49">
        <v>63113</v>
      </c>
      <c r="H483" s="49"/>
      <c r="I483" s="49">
        <v>253965</v>
      </c>
      <c r="J483" s="49"/>
      <c r="K483" s="49">
        <v>19951</v>
      </c>
      <c r="L483" s="49"/>
      <c r="M483" s="49">
        <v>59855</v>
      </c>
      <c r="N483" s="49"/>
      <c r="O483" s="49">
        <v>8179</v>
      </c>
      <c r="P483" s="49"/>
      <c r="Q483" s="49">
        <v>0</v>
      </c>
      <c r="R483" s="49"/>
      <c r="S483" s="49">
        <v>1000</v>
      </c>
      <c r="T483" s="49"/>
      <c r="U483" s="49">
        <v>0</v>
      </c>
      <c r="V483" s="49"/>
      <c r="W483" s="49">
        <v>0</v>
      </c>
      <c r="X483" s="49"/>
      <c r="Y483" s="49">
        <v>52798</v>
      </c>
      <c r="Z483" s="49"/>
      <c r="AA483" s="49">
        <v>19426</v>
      </c>
      <c r="AB483" s="49"/>
      <c r="AC483" s="49">
        <v>50000</v>
      </c>
      <c r="AD483" s="49"/>
      <c r="AE483" s="49">
        <v>88936</v>
      </c>
      <c r="AF483" s="49"/>
      <c r="AG483" s="49">
        <v>0</v>
      </c>
      <c r="AH483" s="49"/>
      <c r="AI483" s="49">
        <f t="shared" si="24"/>
        <v>692613</v>
      </c>
      <c r="AK483" s="6" t="str">
        <f>'Gen Rev'!A483</f>
        <v>Phillipsburg</v>
      </c>
      <c r="AL483" s="6" t="str">
        <f t="shared" si="22"/>
        <v>Phillipsburg</v>
      </c>
      <c r="AM483" s="6" t="b">
        <f t="shared" si="23"/>
        <v>1</v>
      </c>
    </row>
    <row r="484" spans="1:39" x14ac:dyDescent="0.2">
      <c r="A484" s="6" t="s">
        <v>452</v>
      </c>
      <c r="C484" s="6" t="s">
        <v>450</v>
      </c>
      <c r="E484" s="49">
        <v>36135</v>
      </c>
      <c r="F484" s="49"/>
      <c r="G484" s="49">
        <v>0</v>
      </c>
      <c r="H484" s="49"/>
      <c r="I484" s="49">
        <v>45121</v>
      </c>
      <c r="J484" s="49"/>
      <c r="K484" s="49">
        <v>0</v>
      </c>
      <c r="L484" s="49"/>
      <c r="M484" s="49">
        <v>0</v>
      </c>
      <c r="N484" s="49"/>
      <c r="O484" s="49">
        <v>13291</v>
      </c>
      <c r="P484" s="49"/>
      <c r="Q484" s="49">
        <v>0</v>
      </c>
      <c r="R484" s="49"/>
      <c r="S484" s="49">
        <v>25915</v>
      </c>
      <c r="T484" s="49"/>
      <c r="U484" s="49">
        <v>0</v>
      </c>
      <c r="V484" s="49"/>
      <c r="W484" s="49">
        <v>0</v>
      </c>
      <c r="X484" s="49"/>
      <c r="Y484" s="49">
        <v>0</v>
      </c>
      <c r="Z484" s="49"/>
      <c r="AA484" s="49">
        <v>0</v>
      </c>
      <c r="AB484" s="49"/>
      <c r="AC484" s="49">
        <v>0</v>
      </c>
      <c r="AD484" s="49"/>
      <c r="AE484" s="49">
        <v>0</v>
      </c>
      <c r="AF484" s="49"/>
      <c r="AG484" s="49">
        <v>0</v>
      </c>
      <c r="AH484" s="49"/>
      <c r="AI484" s="49">
        <f t="shared" si="24"/>
        <v>120462</v>
      </c>
      <c r="AK484" s="6" t="str">
        <f>'Gen Rev'!A484</f>
        <v>Philo</v>
      </c>
      <c r="AL484" s="6" t="str">
        <f t="shared" si="22"/>
        <v>Philo</v>
      </c>
      <c r="AM484" s="6" t="b">
        <f t="shared" si="23"/>
        <v>1</v>
      </c>
    </row>
    <row r="485" spans="1:39" x14ac:dyDescent="0.2">
      <c r="A485" s="6" t="s">
        <v>468</v>
      </c>
      <c r="C485" s="6" t="s">
        <v>469</v>
      </c>
      <c r="E485" s="49">
        <v>153187.18</v>
      </c>
      <c r="F485" s="49"/>
      <c r="G485" s="49">
        <v>432944.39</v>
      </c>
      <c r="H485" s="49"/>
      <c r="I485" s="49">
        <v>604088.87</v>
      </c>
      <c r="J485" s="49"/>
      <c r="K485" s="49">
        <v>0</v>
      </c>
      <c r="L485" s="49"/>
      <c r="M485" s="49">
        <v>0</v>
      </c>
      <c r="N485" s="49"/>
      <c r="O485" s="49">
        <v>86670.7</v>
      </c>
      <c r="P485" s="49"/>
      <c r="Q485" s="49">
        <v>1144.92</v>
      </c>
      <c r="R485" s="49"/>
      <c r="S485" s="49">
        <v>22325.22</v>
      </c>
      <c r="T485" s="49"/>
      <c r="U485" s="49">
        <v>0</v>
      </c>
      <c r="V485" s="49"/>
      <c r="W485" s="49">
        <v>0</v>
      </c>
      <c r="X485" s="49"/>
      <c r="Y485" s="49">
        <v>0</v>
      </c>
      <c r="Z485" s="49"/>
      <c r="AA485" s="49">
        <v>0</v>
      </c>
      <c r="AB485" s="49"/>
      <c r="AC485" s="49">
        <v>0</v>
      </c>
      <c r="AD485" s="49"/>
      <c r="AE485" s="49">
        <v>0</v>
      </c>
      <c r="AF485" s="49"/>
      <c r="AG485" s="49">
        <v>0</v>
      </c>
      <c r="AH485" s="49"/>
      <c r="AI485" s="49">
        <f t="shared" si="24"/>
        <v>1300361.2799999998</v>
      </c>
      <c r="AK485" s="6" t="str">
        <f>'Gen Rev'!A485</f>
        <v>Piketon</v>
      </c>
      <c r="AL485" s="6" t="str">
        <f t="shared" si="22"/>
        <v>Piketon</v>
      </c>
      <c r="AM485" s="6" t="b">
        <f t="shared" si="23"/>
        <v>1</v>
      </c>
    </row>
    <row r="486" spans="1:39" x14ac:dyDescent="0.2">
      <c r="A486" s="6" t="s">
        <v>773</v>
      </c>
      <c r="C486" s="6" t="s">
        <v>554</v>
      </c>
      <c r="E486" s="49">
        <v>208544</v>
      </c>
      <c r="F486" s="49"/>
      <c r="G486" s="49">
        <v>389939</v>
      </c>
      <c r="H486" s="49"/>
      <c r="I486" s="49">
        <v>173428</v>
      </c>
      <c r="J486" s="49"/>
      <c r="K486" s="49">
        <v>40471</v>
      </c>
      <c r="L486" s="49"/>
      <c r="M486" s="49">
        <v>61838</v>
      </c>
      <c r="N486" s="49"/>
      <c r="O486" s="49">
        <v>7644</v>
      </c>
      <c r="P486" s="49"/>
      <c r="Q486" s="49">
        <v>4204</v>
      </c>
      <c r="R486" s="49"/>
      <c r="S486" s="49">
        <v>87655</v>
      </c>
      <c r="T486" s="49"/>
      <c r="U486" s="49">
        <v>0</v>
      </c>
      <c r="V486" s="49"/>
      <c r="W486" s="49">
        <v>0</v>
      </c>
      <c r="X486" s="49"/>
      <c r="Y486" s="49">
        <v>0</v>
      </c>
      <c r="Z486" s="49"/>
      <c r="AA486" s="49">
        <v>56795</v>
      </c>
      <c r="AB486" s="49"/>
      <c r="AC486" s="49">
        <v>0</v>
      </c>
      <c r="AD486" s="49"/>
      <c r="AE486" s="49">
        <v>26403</v>
      </c>
      <c r="AF486" s="49"/>
      <c r="AG486" s="49">
        <v>0</v>
      </c>
      <c r="AH486" s="49"/>
      <c r="AI486" s="49">
        <f t="shared" si="24"/>
        <v>1056921</v>
      </c>
      <c r="AK486" s="6" t="str">
        <f>'Gen Rev'!A486</f>
        <v>Pioneer</v>
      </c>
      <c r="AL486" s="6" t="str">
        <f t="shared" si="22"/>
        <v>Pioneer</v>
      </c>
      <c r="AM486" s="6" t="b">
        <f t="shared" si="23"/>
        <v>1</v>
      </c>
    </row>
    <row r="487" spans="1:39" x14ac:dyDescent="0.2">
      <c r="A487" s="6" t="s">
        <v>427</v>
      </c>
      <c r="C487" s="6" t="s">
        <v>401</v>
      </c>
      <c r="E487" s="49">
        <v>541964.23</v>
      </c>
      <c r="F487" s="49"/>
      <c r="G487" s="49">
        <v>1148567.3999999999</v>
      </c>
      <c r="H487" s="49"/>
      <c r="I487" s="49">
        <v>372176.99</v>
      </c>
      <c r="J487" s="49"/>
      <c r="K487" s="49">
        <v>0</v>
      </c>
      <c r="L487" s="49"/>
      <c r="M487" s="49">
        <v>601174.06000000006</v>
      </c>
      <c r="N487" s="49"/>
      <c r="O487" s="49">
        <v>78168.289999999994</v>
      </c>
      <c r="P487" s="49"/>
      <c r="Q487" s="49">
        <v>8136.15</v>
      </c>
      <c r="R487" s="49"/>
      <c r="S487" s="49">
        <v>47584.35</v>
      </c>
      <c r="T487" s="49"/>
      <c r="U487" s="49">
        <v>0</v>
      </c>
      <c r="V487" s="49"/>
      <c r="W487" s="49">
        <v>0</v>
      </c>
      <c r="X487" s="49"/>
      <c r="Y487" s="49">
        <v>0</v>
      </c>
      <c r="Z487" s="49"/>
      <c r="AA487" s="49">
        <v>0</v>
      </c>
      <c r="AB487" s="49"/>
      <c r="AC487" s="49">
        <v>0</v>
      </c>
      <c r="AD487" s="49"/>
      <c r="AE487" s="49">
        <v>0</v>
      </c>
      <c r="AF487" s="49"/>
      <c r="AG487" s="49">
        <v>0</v>
      </c>
      <c r="AH487" s="49"/>
      <c r="AI487" s="49">
        <f t="shared" si="24"/>
        <v>2797771.4699999997</v>
      </c>
      <c r="AK487" s="6" t="str">
        <f>'Gen Rev'!A487</f>
        <v>Plain City</v>
      </c>
      <c r="AL487" s="6" t="str">
        <f t="shared" si="22"/>
        <v>Plain City</v>
      </c>
      <c r="AM487" s="6" t="b">
        <f t="shared" si="23"/>
        <v>1</v>
      </c>
    </row>
    <row r="488" spans="1:39" x14ac:dyDescent="0.2">
      <c r="A488" s="6" t="s">
        <v>774</v>
      </c>
      <c r="C488" s="6" t="s">
        <v>285</v>
      </c>
      <c r="E488" s="49">
        <v>0</v>
      </c>
      <c r="F488" s="49"/>
      <c r="G488" s="49">
        <v>0</v>
      </c>
      <c r="H488" s="49"/>
      <c r="I488" s="49">
        <v>3971.21</v>
      </c>
      <c r="J488" s="49"/>
      <c r="K488" s="49">
        <v>0</v>
      </c>
      <c r="L488" s="49"/>
      <c r="M488" s="49">
        <v>0</v>
      </c>
      <c r="N488" s="49"/>
      <c r="O488" s="49">
        <v>0</v>
      </c>
      <c r="P488" s="49"/>
      <c r="Q488" s="49">
        <v>138.9</v>
      </c>
      <c r="R488" s="49"/>
      <c r="S488" s="49">
        <v>0</v>
      </c>
      <c r="T488" s="49"/>
      <c r="U488" s="49">
        <v>0</v>
      </c>
      <c r="V488" s="49"/>
      <c r="W488" s="49">
        <v>0</v>
      </c>
      <c r="X488" s="49"/>
      <c r="Y488" s="49">
        <v>0</v>
      </c>
      <c r="Z488" s="49"/>
      <c r="AA488" s="49">
        <v>0</v>
      </c>
      <c r="AB488" s="49"/>
      <c r="AC488" s="49">
        <v>0</v>
      </c>
      <c r="AD488" s="49"/>
      <c r="AE488" s="49">
        <v>0</v>
      </c>
      <c r="AF488" s="49"/>
      <c r="AG488" s="49">
        <v>0</v>
      </c>
      <c r="AH488" s="49"/>
      <c r="AI488" s="49">
        <f t="shared" si="24"/>
        <v>4110.1099999999997</v>
      </c>
      <c r="AK488" s="6" t="str">
        <f>'Gen Rev'!A488</f>
        <v>Plainfield</v>
      </c>
      <c r="AL488" s="6" t="str">
        <f t="shared" si="22"/>
        <v>Plainfield</v>
      </c>
      <c r="AM488" s="6" t="b">
        <f t="shared" si="23"/>
        <v>1</v>
      </c>
    </row>
    <row r="489" spans="1:39" x14ac:dyDescent="0.2">
      <c r="A489" s="6" t="s">
        <v>150</v>
      </c>
      <c r="C489" s="6" t="s">
        <v>437</v>
      </c>
      <c r="E489" s="49">
        <v>28221.94</v>
      </c>
      <c r="F489" s="49"/>
      <c r="G489" s="49">
        <v>169193.71</v>
      </c>
      <c r="H489" s="49"/>
      <c r="I489" s="49">
        <v>648264.47</v>
      </c>
      <c r="J489" s="49"/>
      <c r="K489" s="49">
        <v>144366.92000000001</v>
      </c>
      <c r="L489" s="49"/>
      <c r="M489" s="49">
        <v>22168.17</v>
      </c>
      <c r="N489" s="49"/>
      <c r="O489" s="49">
        <v>11054.63</v>
      </c>
      <c r="P489" s="49"/>
      <c r="Q489" s="49">
        <v>1516.33</v>
      </c>
      <c r="R489" s="49"/>
      <c r="S489" s="49">
        <v>4393.63</v>
      </c>
      <c r="T489" s="49"/>
      <c r="U489" s="49">
        <v>0</v>
      </c>
      <c r="V489" s="49"/>
      <c r="W489" s="49">
        <v>0</v>
      </c>
      <c r="X489" s="49"/>
      <c r="Y489" s="49">
        <v>10500</v>
      </c>
      <c r="Z489" s="49"/>
      <c r="AA489" s="49">
        <v>1008.5</v>
      </c>
      <c r="AB489" s="49"/>
      <c r="AC489" s="49">
        <v>0</v>
      </c>
      <c r="AD489" s="49"/>
      <c r="AE489" s="49">
        <v>0</v>
      </c>
      <c r="AF489" s="49"/>
      <c r="AG489" s="49">
        <v>0</v>
      </c>
      <c r="AH489" s="49"/>
      <c r="AI489" s="49">
        <f t="shared" si="24"/>
        <v>1040688.3</v>
      </c>
      <c r="AK489" s="6" t="str">
        <f>'Gen Rev'!A489</f>
        <v>Pleasant Hill</v>
      </c>
      <c r="AL489" s="6" t="str">
        <f t="shared" si="22"/>
        <v>Pleasant Hill</v>
      </c>
      <c r="AM489" s="6" t="b">
        <f t="shared" si="23"/>
        <v>1</v>
      </c>
    </row>
    <row r="490" spans="1:39" x14ac:dyDescent="0.2">
      <c r="A490" s="6" t="s">
        <v>227</v>
      </c>
      <c r="C490" s="6" t="s">
        <v>541</v>
      </c>
      <c r="E490" s="49">
        <v>2879.23</v>
      </c>
      <c r="F490" s="49"/>
      <c r="G490" s="49">
        <v>0</v>
      </c>
      <c r="H490" s="49"/>
      <c r="I490" s="49">
        <v>12096.01</v>
      </c>
      <c r="J490" s="49"/>
      <c r="K490" s="49">
        <v>0</v>
      </c>
      <c r="L490" s="49"/>
      <c r="M490" s="49">
        <v>0</v>
      </c>
      <c r="N490" s="49"/>
      <c r="O490" s="49">
        <v>0</v>
      </c>
      <c r="P490" s="49"/>
      <c r="Q490" s="49">
        <v>39.57</v>
      </c>
      <c r="R490" s="49"/>
      <c r="S490" s="49">
        <v>2877.3</v>
      </c>
      <c r="T490" s="49"/>
      <c r="U490" s="49">
        <v>0</v>
      </c>
      <c r="V490" s="49"/>
      <c r="W490" s="49">
        <v>0</v>
      </c>
      <c r="X490" s="49"/>
      <c r="Y490" s="49">
        <v>0</v>
      </c>
      <c r="Z490" s="49"/>
      <c r="AA490" s="49">
        <v>0</v>
      </c>
      <c r="AB490" s="49"/>
      <c r="AC490" s="49">
        <v>0</v>
      </c>
      <c r="AD490" s="49"/>
      <c r="AE490" s="49">
        <v>0</v>
      </c>
      <c r="AF490" s="49"/>
      <c r="AG490" s="49">
        <v>0</v>
      </c>
      <c r="AH490" s="49"/>
      <c r="AI490" s="49">
        <f t="shared" si="24"/>
        <v>17892.11</v>
      </c>
      <c r="AK490" s="6" t="str">
        <f>'Gen Rev'!A490</f>
        <v>Pleasant Plain</v>
      </c>
      <c r="AL490" s="6" t="str">
        <f t="shared" si="22"/>
        <v>Pleasant Plain</v>
      </c>
      <c r="AM490" s="6" t="b">
        <f t="shared" si="23"/>
        <v>1</v>
      </c>
    </row>
    <row r="491" spans="1:39" x14ac:dyDescent="0.2">
      <c r="A491" s="6" t="s">
        <v>59</v>
      </c>
      <c r="C491" s="6" t="s">
        <v>327</v>
      </c>
      <c r="E491" s="49">
        <v>83369.789999999994</v>
      </c>
      <c r="F491" s="49"/>
      <c r="G491" s="49">
        <v>2385.1799999999998</v>
      </c>
      <c r="H491" s="49"/>
      <c r="I491" s="49">
        <v>52990.73</v>
      </c>
      <c r="J491" s="49"/>
      <c r="K491" s="49">
        <v>131.41</v>
      </c>
      <c r="L491" s="49"/>
      <c r="M491" s="49">
        <v>21500.74</v>
      </c>
      <c r="N491" s="49"/>
      <c r="O491" s="49">
        <v>5245.81</v>
      </c>
      <c r="P491" s="49"/>
      <c r="Q491" s="49">
        <v>0.83</v>
      </c>
      <c r="R491" s="49"/>
      <c r="S491" s="49">
        <v>1163.4000000000001</v>
      </c>
      <c r="T491" s="49"/>
      <c r="U491" s="49">
        <v>0</v>
      </c>
      <c r="V491" s="49"/>
      <c r="W491" s="49">
        <v>0</v>
      </c>
      <c r="X491" s="49"/>
      <c r="Y491" s="49">
        <v>0</v>
      </c>
      <c r="Z491" s="49"/>
      <c r="AA491" s="49">
        <v>1323.38</v>
      </c>
      <c r="AB491" s="49"/>
      <c r="AC491" s="49">
        <v>6468.75</v>
      </c>
      <c r="AD491" s="49"/>
      <c r="AE491" s="49">
        <v>0</v>
      </c>
      <c r="AF491" s="49"/>
      <c r="AG491" s="49">
        <v>0</v>
      </c>
      <c r="AH491" s="49"/>
      <c r="AI491" s="49">
        <f t="shared" si="24"/>
        <v>174580.01999999996</v>
      </c>
      <c r="AK491" s="6" t="str">
        <f>'Gen Rev'!A491</f>
        <v>Pleasantville</v>
      </c>
      <c r="AL491" s="6" t="str">
        <f t="shared" si="22"/>
        <v>Pleasantville</v>
      </c>
      <c r="AM491" s="6" t="b">
        <f t="shared" si="23"/>
        <v>1</v>
      </c>
    </row>
    <row r="492" spans="1:39" x14ac:dyDescent="0.2">
      <c r="A492" s="6" t="s">
        <v>194</v>
      </c>
      <c r="C492" s="6" t="s">
        <v>481</v>
      </c>
      <c r="E492" s="49">
        <v>321661.5</v>
      </c>
      <c r="F492" s="49"/>
      <c r="G492" s="49">
        <v>315742.65000000002</v>
      </c>
      <c r="H492" s="49"/>
      <c r="I492" s="49">
        <v>173373.44</v>
      </c>
      <c r="J492" s="49"/>
      <c r="K492" s="49">
        <v>0</v>
      </c>
      <c r="L492" s="49"/>
      <c r="M492" s="49">
        <v>44683.17</v>
      </c>
      <c r="N492" s="49"/>
      <c r="O492" s="49">
        <v>34477.71</v>
      </c>
      <c r="P492" s="49"/>
      <c r="Q492" s="49">
        <v>1532.8</v>
      </c>
      <c r="R492" s="49"/>
      <c r="S492" s="49">
        <v>81693.86</v>
      </c>
      <c r="T492" s="49"/>
      <c r="U492" s="49">
        <v>0</v>
      </c>
      <c r="V492" s="49"/>
      <c r="W492" s="49">
        <v>0</v>
      </c>
      <c r="X492" s="49"/>
      <c r="Y492" s="49">
        <v>0</v>
      </c>
      <c r="Z492" s="49"/>
      <c r="AA492" s="49">
        <v>21679.75</v>
      </c>
      <c r="AB492" s="49"/>
      <c r="AC492" s="49">
        <v>0</v>
      </c>
      <c r="AD492" s="49"/>
      <c r="AE492" s="49">
        <v>0</v>
      </c>
      <c r="AF492" s="49"/>
      <c r="AG492" s="49">
        <v>9752.75</v>
      </c>
      <c r="AH492" s="49"/>
      <c r="AI492" s="49">
        <f t="shared" si="24"/>
        <v>1004597.6300000001</v>
      </c>
      <c r="AK492" s="6" t="str">
        <f>'Gen Rev'!A492</f>
        <v>Plymouth</v>
      </c>
      <c r="AL492" s="6" t="str">
        <f t="shared" si="22"/>
        <v>Plymouth</v>
      </c>
      <c r="AM492" s="6" t="b">
        <f t="shared" si="23"/>
        <v>1</v>
      </c>
    </row>
    <row r="493" spans="1:39" x14ac:dyDescent="0.2">
      <c r="A493" s="6" t="s">
        <v>136</v>
      </c>
      <c r="C493" s="6" t="s">
        <v>429</v>
      </c>
      <c r="E493" s="49">
        <v>426773.38</v>
      </c>
      <c r="F493" s="49"/>
      <c r="G493" s="49">
        <v>0</v>
      </c>
      <c r="H493" s="49"/>
      <c r="I493" s="49">
        <v>255748.6</v>
      </c>
      <c r="J493" s="49"/>
      <c r="K493" s="49">
        <v>66.88</v>
      </c>
      <c r="L493" s="49"/>
      <c r="M493" s="49">
        <v>0</v>
      </c>
      <c r="N493" s="49"/>
      <c r="O493" s="49">
        <v>238547.9</v>
      </c>
      <c r="P493" s="49"/>
      <c r="Q493" s="49">
        <v>21589.279999999999</v>
      </c>
      <c r="R493" s="49"/>
      <c r="S493" s="49">
        <v>25176.59</v>
      </c>
      <c r="T493" s="49"/>
      <c r="U493" s="49">
        <v>0</v>
      </c>
      <c r="V493" s="49"/>
      <c r="W493" s="49">
        <v>0</v>
      </c>
      <c r="X493" s="49"/>
      <c r="Y493" s="49">
        <v>0</v>
      </c>
      <c r="Z493" s="49"/>
      <c r="AA493" s="49">
        <v>2.48</v>
      </c>
      <c r="AB493" s="49"/>
      <c r="AC493" s="49">
        <v>0</v>
      </c>
      <c r="AD493" s="49"/>
      <c r="AE493" s="49">
        <v>0</v>
      </c>
      <c r="AF493" s="49"/>
      <c r="AG493" s="49">
        <v>0</v>
      </c>
      <c r="AH493" s="49"/>
      <c r="AI493" s="49">
        <f t="shared" si="24"/>
        <v>967905.11</v>
      </c>
      <c r="AK493" s="6" t="str">
        <f>'Gen Rev'!A493</f>
        <v>Poland</v>
      </c>
      <c r="AL493" s="6" t="str">
        <f t="shared" si="22"/>
        <v>Poland</v>
      </c>
      <c r="AM493" s="6" t="b">
        <f t="shared" si="23"/>
        <v>1</v>
      </c>
    </row>
    <row r="494" spans="1:39" x14ac:dyDescent="0.2">
      <c r="A494" s="6" t="s">
        <v>630</v>
      </c>
      <c r="C494" s="6" t="s">
        <v>848</v>
      </c>
      <c r="E494" s="49">
        <v>8865.33</v>
      </c>
      <c r="F494" s="49"/>
      <c r="G494" s="49">
        <v>0</v>
      </c>
      <c r="H494" s="49"/>
      <c r="I494" s="49">
        <v>37747.300000000003</v>
      </c>
      <c r="J494" s="49"/>
      <c r="K494" s="49">
        <v>0</v>
      </c>
      <c r="L494" s="49"/>
      <c r="M494" s="49">
        <v>2420</v>
      </c>
      <c r="N494" s="49"/>
      <c r="O494" s="49">
        <v>130</v>
      </c>
      <c r="P494" s="49"/>
      <c r="Q494" s="49">
        <v>16</v>
      </c>
      <c r="R494" s="49"/>
      <c r="S494" s="49">
        <v>925.92</v>
      </c>
      <c r="T494" s="49"/>
      <c r="U494" s="49">
        <v>0</v>
      </c>
      <c r="V494" s="49"/>
      <c r="W494" s="49">
        <v>0</v>
      </c>
      <c r="X494" s="49"/>
      <c r="Y494" s="49">
        <v>0</v>
      </c>
      <c r="Z494" s="49"/>
      <c r="AA494" s="49">
        <v>0</v>
      </c>
      <c r="AB494" s="49"/>
      <c r="AC494" s="49">
        <v>0</v>
      </c>
      <c r="AD494" s="49"/>
      <c r="AE494" s="49">
        <v>0</v>
      </c>
      <c r="AF494" s="49"/>
      <c r="AG494" s="49">
        <v>0</v>
      </c>
      <c r="AH494" s="49"/>
      <c r="AI494" s="49">
        <f t="shared" si="24"/>
        <v>50104.55</v>
      </c>
      <c r="AK494" s="6" t="str">
        <f>'Gen Rev'!A494</f>
        <v>Polk</v>
      </c>
      <c r="AL494" s="6" t="str">
        <f t="shared" si="22"/>
        <v>Polk</v>
      </c>
      <c r="AM494" s="6" t="b">
        <f t="shared" si="23"/>
        <v>1</v>
      </c>
    </row>
    <row r="495" spans="1:39" x14ac:dyDescent="0.2">
      <c r="A495" s="6" t="s">
        <v>775</v>
      </c>
      <c r="C495" s="6" t="s">
        <v>498</v>
      </c>
      <c r="E495" s="49">
        <v>10947</v>
      </c>
      <c r="F495" s="49"/>
      <c r="G495" s="49">
        <v>6601</v>
      </c>
      <c r="H495" s="49"/>
      <c r="I495" s="49">
        <v>18796</v>
      </c>
      <c r="J495" s="49"/>
      <c r="K495" s="49">
        <v>0</v>
      </c>
      <c r="L495" s="49"/>
      <c r="M495" s="49">
        <v>4169</v>
      </c>
      <c r="N495" s="49"/>
      <c r="O495" s="49">
        <v>2193</v>
      </c>
      <c r="P495" s="49"/>
      <c r="Q495" s="49">
        <v>0</v>
      </c>
      <c r="R495" s="49"/>
      <c r="S495" s="49">
        <v>6180</v>
      </c>
      <c r="T495" s="49"/>
      <c r="U495" s="49">
        <v>0</v>
      </c>
      <c r="V495" s="49"/>
      <c r="W495" s="49">
        <v>0</v>
      </c>
      <c r="X495" s="49"/>
      <c r="Y495" s="49">
        <v>0</v>
      </c>
      <c r="Z495" s="49"/>
      <c r="AA495" s="49">
        <v>0</v>
      </c>
      <c r="AB495" s="49"/>
      <c r="AC495" s="49">
        <v>0</v>
      </c>
      <c r="AD495" s="49"/>
      <c r="AE495" s="49">
        <v>0</v>
      </c>
      <c r="AF495" s="49"/>
      <c r="AG495" s="49">
        <v>0</v>
      </c>
      <c r="AH495" s="49"/>
      <c r="AI495" s="49">
        <f t="shared" si="24"/>
        <v>48886</v>
      </c>
      <c r="AK495" s="6" t="str">
        <f>'Gen Rev'!A495</f>
        <v>Port Jefferson</v>
      </c>
      <c r="AL495" s="6" t="str">
        <f t="shared" si="22"/>
        <v>Port Jefferson</v>
      </c>
      <c r="AM495" s="6" t="b">
        <f t="shared" si="23"/>
        <v>1</v>
      </c>
    </row>
    <row r="496" spans="1:39" x14ac:dyDescent="0.2">
      <c r="A496" s="6" t="s">
        <v>631</v>
      </c>
      <c r="C496" s="6" t="s">
        <v>521</v>
      </c>
      <c r="E496" s="49">
        <v>32084.85</v>
      </c>
      <c r="F496" s="49"/>
      <c r="G496" s="49">
        <v>76890.33</v>
      </c>
      <c r="H496" s="49"/>
      <c r="I496" s="49">
        <v>44974.59</v>
      </c>
      <c r="J496" s="49"/>
      <c r="K496" s="49">
        <v>233.83</v>
      </c>
      <c r="L496" s="49"/>
      <c r="M496" s="49">
        <v>270</v>
      </c>
      <c r="N496" s="49"/>
      <c r="O496" s="49">
        <v>8041.6</v>
      </c>
      <c r="P496" s="49"/>
      <c r="Q496" s="49">
        <v>47.61</v>
      </c>
      <c r="R496" s="49"/>
      <c r="S496" s="49">
        <v>634.96</v>
      </c>
      <c r="T496" s="49"/>
      <c r="U496" s="49">
        <v>0</v>
      </c>
      <c r="V496" s="49"/>
      <c r="W496" s="49">
        <v>0</v>
      </c>
      <c r="X496" s="49"/>
      <c r="Y496" s="49">
        <v>0</v>
      </c>
      <c r="Z496" s="49"/>
      <c r="AA496" s="49">
        <v>0</v>
      </c>
      <c r="AB496" s="49"/>
      <c r="AC496" s="49">
        <v>0</v>
      </c>
      <c r="AD496" s="49"/>
      <c r="AE496" s="49">
        <v>0</v>
      </c>
      <c r="AF496" s="49"/>
      <c r="AG496" s="49">
        <v>0</v>
      </c>
      <c r="AH496" s="49"/>
      <c r="AI496" s="49">
        <f t="shared" si="24"/>
        <v>163177.76999999996</v>
      </c>
      <c r="AK496" s="6" t="str">
        <f>'Gen Rev'!A496</f>
        <v>Port Washington</v>
      </c>
      <c r="AL496" s="6" t="str">
        <f t="shared" si="22"/>
        <v>Port Washington</v>
      </c>
      <c r="AM496" s="6" t="b">
        <f t="shared" si="23"/>
        <v>1</v>
      </c>
    </row>
    <row r="497" spans="1:39" x14ac:dyDescent="0.2">
      <c r="A497" s="6" t="s">
        <v>281</v>
      </c>
      <c r="C497" s="6" t="s">
        <v>280</v>
      </c>
      <c r="E497" s="49">
        <v>20484.47</v>
      </c>
      <c r="F497" s="49"/>
      <c r="G497" s="49">
        <v>0</v>
      </c>
      <c r="H497" s="49"/>
      <c r="I497" s="49">
        <v>17102.03</v>
      </c>
      <c r="J497" s="49"/>
      <c r="K497" s="49">
        <v>0</v>
      </c>
      <c r="L497" s="49"/>
      <c r="M497" s="49">
        <v>53345.279999999999</v>
      </c>
      <c r="N497" s="49"/>
      <c r="O497" s="49">
        <v>0</v>
      </c>
      <c r="P497" s="49"/>
      <c r="Q497" s="49">
        <v>28.92</v>
      </c>
      <c r="R497" s="49"/>
      <c r="S497" s="49">
        <v>7675.08</v>
      </c>
      <c r="T497" s="49"/>
      <c r="U497" s="49">
        <v>0</v>
      </c>
      <c r="V497" s="49"/>
      <c r="W497" s="49">
        <v>0</v>
      </c>
      <c r="X497" s="49"/>
      <c r="Y497" s="49">
        <v>0</v>
      </c>
      <c r="Z497" s="49"/>
      <c r="AA497" s="49">
        <v>0</v>
      </c>
      <c r="AB497" s="49"/>
      <c r="AC497" s="49">
        <v>0</v>
      </c>
      <c r="AD497" s="49"/>
      <c r="AE497" s="49">
        <v>0</v>
      </c>
      <c r="AF497" s="49"/>
      <c r="AG497" s="49">
        <v>0</v>
      </c>
      <c r="AH497" s="49"/>
      <c r="AI497" s="49">
        <f t="shared" si="24"/>
        <v>98635.78</v>
      </c>
      <c r="AK497" s="6" t="str">
        <f>'Gen Rev'!A497</f>
        <v>Port William</v>
      </c>
      <c r="AL497" s="6" t="str">
        <f t="shared" si="22"/>
        <v>Port William</v>
      </c>
      <c r="AM497" s="6" t="b">
        <f t="shared" si="23"/>
        <v>1</v>
      </c>
    </row>
    <row r="498" spans="1:39" x14ac:dyDescent="0.2">
      <c r="A498" s="6" t="s">
        <v>241</v>
      </c>
      <c r="C498" s="6" t="s">
        <v>558</v>
      </c>
      <c r="E498" s="49">
        <v>15986.19</v>
      </c>
      <c r="F498" s="49"/>
      <c r="G498" s="49">
        <v>85770.82</v>
      </c>
      <c r="H498" s="49"/>
      <c r="I498" s="49">
        <v>67275.509999999995</v>
      </c>
      <c r="J498" s="49"/>
      <c r="K498" s="49">
        <v>8032.05</v>
      </c>
      <c r="L498" s="49"/>
      <c r="M498" s="49">
        <v>160</v>
      </c>
      <c r="N498" s="49"/>
      <c r="O498" s="49">
        <v>3666.04</v>
      </c>
      <c r="P498" s="49"/>
      <c r="Q498" s="49">
        <v>35.06</v>
      </c>
      <c r="R498" s="49"/>
      <c r="S498" s="49">
        <v>2848.17</v>
      </c>
      <c r="T498" s="49"/>
      <c r="U498" s="49">
        <v>0</v>
      </c>
      <c r="V498" s="49"/>
      <c r="W498" s="49">
        <v>0</v>
      </c>
      <c r="X498" s="49"/>
      <c r="Y498" s="49">
        <v>0</v>
      </c>
      <c r="Z498" s="49"/>
      <c r="AA498" s="49">
        <v>0</v>
      </c>
      <c r="AB498" s="49"/>
      <c r="AC498" s="49">
        <v>0</v>
      </c>
      <c r="AD498" s="49"/>
      <c r="AE498" s="49">
        <v>0</v>
      </c>
      <c r="AF498" s="49"/>
      <c r="AG498" s="49">
        <v>0</v>
      </c>
      <c r="AH498" s="49"/>
      <c r="AI498" s="49">
        <f t="shared" si="24"/>
        <v>183773.84000000003</v>
      </c>
      <c r="AK498" s="6" t="str">
        <f>'Gen Rev'!A498</f>
        <v>Portage</v>
      </c>
      <c r="AL498" s="6" t="str">
        <f t="shared" si="22"/>
        <v>Portage</v>
      </c>
      <c r="AM498" s="6" t="b">
        <f t="shared" si="23"/>
        <v>1</v>
      </c>
    </row>
    <row r="499" spans="1:39" x14ac:dyDescent="0.2">
      <c r="A499" s="6" t="s">
        <v>438</v>
      </c>
      <c r="C499" s="6" t="s">
        <v>437</v>
      </c>
      <c r="E499" s="49">
        <v>8802.6200000000008</v>
      </c>
      <c r="F499" s="49"/>
      <c r="G499" s="49">
        <v>0</v>
      </c>
      <c r="H499" s="49"/>
      <c r="I499" s="49">
        <v>26461.49</v>
      </c>
      <c r="J499" s="49"/>
      <c r="K499" s="49">
        <v>0</v>
      </c>
      <c r="L499" s="49"/>
      <c r="M499" s="49">
        <v>0</v>
      </c>
      <c r="N499" s="49"/>
      <c r="O499" s="49">
        <v>1298.4000000000001</v>
      </c>
      <c r="P499" s="49"/>
      <c r="Q499" s="49">
        <v>41.3</v>
      </c>
      <c r="R499" s="49"/>
      <c r="S499" s="49">
        <v>534.22</v>
      </c>
      <c r="T499" s="49"/>
      <c r="U499" s="49">
        <v>0</v>
      </c>
      <c r="V499" s="49"/>
      <c r="W499" s="49">
        <v>0</v>
      </c>
      <c r="X499" s="49"/>
      <c r="Y499" s="49">
        <v>0</v>
      </c>
      <c r="Z499" s="49"/>
      <c r="AA499" s="49">
        <v>8200</v>
      </c>
      <c r="AB499" s="49"/>
      <c r="AC499" s="49">
        <v>0</v>
      </c>
      <c r="AD499" s="49"/>
      <c r="AE499" s="49">
        <v>0</v>
      </c>
      <c r="AF499" s="49"/>
      <c r="AG499" s="49">
        <v>0</v>
      </c>
      <c r="AH499" s="49"/>
      <c r="AI499" s="49">
        <f t="shared" si="24"/>
        <v>45338.030000000006</v>
      </c>
      <c r="AK499" s="6" t="str">
        <f>'Gen Rev'!A499</f>
        <v>Potsdam</v>
      </c>
      <c r="AL499" s="6" t="str">
        <f t="shared" si="22"/>
        <v>Potsdam</v>
      </c>
      <c r="AM499" s="6" t="b">
        <f t="shared" si="23"/>
        <v>1</v>
      </c>
    </row>
    <row r="500" spans="1:39" x14ac:dyDescent="0.2">
      <c r="A500" s="6" t="s">
        <v>19</v>
      </c>
      <c r="C500" s="6" t="s">
        <v>261</v>
      </c>
      <c r="E500" s="49">
        <v>96672.59</v>
      </c>
      <c r="F500" s="49"/>
      <c r="G500" s="49">
        <v>196620.34</v>
      </c>
      <c r="H500" s="49"/>
      <c r="I500" s="49">
        <v>180007.17</v>
      </c>
      <c r="J500" s="49"/>
      <c r="K500" s="49">
        <v>0</v>
      </c>
      <c r="L500" s="49"/>
      <c r="M500" s="49">
        <v>40152.82</v>
      </c>
      <c r="N500" s="49"/>
      <c r="O500" s="49">
        <v>16450.330000000002</v>
      </c>
      <c r="P500" s="49"/>
      <c r="Q500" s="49">
        <v>1438.26</v>
      </c>
      <c r="R500" s="49"/>
      <c r="S500" s="49">
        <v>30332.31</v>
      </c>
      <c r="T500" s="49"/>
      <c r="U500" s="49">
        <v>0</v>
      </c>
      <c r="V500" s="49"/>
      <c r="W500" s="49">
        <v>0</v>
      </c>
      <c r="X500" s="49"/>
      <c r="Y500" s="49">
        <v>0</v>
      </c>
      <c r="Z500" s="49"/>
      <c r="AA500" s="49">
        <v>10000</v>
      </c>
      <c r="AB500" s="49"/>
      <c r="AC500" s="49">
        <v>0</v>
      </c>
      <c r="AD500" s="49"/>
      <c r="AE500" s="49">
        <v>0</v>
      </c>
      <c r="AF500" s="49"/>
      <c r="AG500" s="49">
        <v>0</v>
      </c>
      <c r="AH500" s="49"/>
      <c r="AI500" s="49">
        <f t="shared" si="24"/>
        <v>571673.82000000007</v>
      </c>
      <c r="AK500" s="6" t="str">
        <f>'Gen Rev'!A500</f>
        <v>Powhatan Point</v>
      </c>
      <c r="AL500" s="6" t="str">
        <f t="shared" si="22"/>
        <v>Powhatan Point</v>
      </c>
      <c r="AM500" s="6" t="b">
        <f t="shared" si="23"/>
        <v>1</v>
      </c>
    </row>
    <row r="501" spans="1:39" x14ac:dyDescent="0.2">
      <c r="A501" s="6" t="s">
        <v>119</v>
      </c>
      <c r="C501" s="6" t="s">
        <v>406</v>
      </c>
      <c r="E501" s="49">
        <v>35565.25</v>
      </c>
      <c r="F501" s="49"/>
      <c r="G501" s="49">
        <v>0</v>
      </c>
      <c r="H501" s="49"/>
      <c r="I501" s="49">
        <v>47023.91</v>
      </c>
      <c r="J501" s="49"/>
      <c r="K501" s="49">
        <v>0</v>
      </c>
      <c r="L501" s="49"/>
      <c r="M501" s="49">
        <v>0</v>
      </c>
      <c r="N501" s="49"/>
      <c r="O501" s="49">
        <v>131864</v>
      </c>
      <c r="P501" s="49"/>
      <c r="Q501" s="49">
        <v>0</v>
      </c>
      <c r="R501" s="49"/>
      <c r="S501" s="49">
        <v>46768.160000000003</v>
      </c>
      <c r="T501" s="49"/>
      <c r="U501" s="49">
        <v>0</v>
      </c>
      <c r="V501" s="49"/>
      <c r="W501" s="49">
        <v>0</v>
      </c>
      <c r="X501" s="49"/>
      <c r="Y501" s="49">
        <v>0</v>
      </c>
      <c r="Z501" s="49"/>
      <c r="AA501" s="49">
        <v>0</v>
      </c>
      <c r="AB501" s="49"/>
      <c r="AC501" s="49">
        <v>0</v>
      </c>
      <c r="AD501" s="49"/>
      <c r="AE501" s="49">
        <v>0</v>
      </c>
      <c r="AF501" s="49"/>
      <c r="AG501" s="49">
        <v>0</v>
      </c>
      <c r="AH501" s="49"/>
      <c r="AI501" s="49">
        <f t="shared" si="24"/>
        <v>261221.32</v>
      </c>
      <c r="AK501" s="6" t="str">
        <f>'Gen Rev'!A501</f>
        <v>Proctorville</v>
      </c>
      <c r="AL501" s="6" t="str">
        <f t="shared" si="22"/>
        <v>Proctorville</v>
      </c>
      <c r="AM501" s="6" t="b">
        <f t="shared" si="23"/>
        <v>1</v>
      </c>
    </row>
    <row r="502" spans="1:39" x14ac:dyDescent="0.2">
      <c r="A502" s="6" t="s">
        <v>140</v>
      </c>
      <c r="C502" s="6" t="s">
        <v>430</v>
      </c>
      <c r="E502" s="49">
        <v>83465.850000000006</v>
      </c>
      <c r="F502" s="49"/>
      <c r="G502" s="49">
        <v>0</v>
      </c>
      <c r="H502" s="49"/>
      <c r="I502" s="49">
        <v>72347.789999999994</v>
      </c>
      <c r="J502" s="49"/>
      <c r="K502" s="49">
        <v>8361.36</v>
      </c>
      <c r="L502" s="49"/>
      <c r="M502" s="49">
        <v>0</v>
      </c>
      <c r="N502" s="49"/>
      <c r="O502" s="49">
        <v>700</v>
      </c>
      <c r="P502" s="49"/>
      <c r="Q502" s="49">
        <v>844.7</v>
      </c>
      <c r="R502" s="49"/>
      <c r="S502" s="49">
        <v>3502.67</v>
      </c>
      <c r="T502" s="49"/>
      <c r="U502" s="49">
        <v>0</v>
      </c>
      <c r="V502" s="49"/>
      <c r="W502" s="49">
        <v>0</v>
      </c>
      <c r="X502" s="49"/>
      <c r="Y502" s="49">
        <v>0</v>
      </c>
      <c r="Z502" s="49"/>
      <c r="AA502" s="49">
        <v>0</v>
      </c>
      <c r="AB502" s="49"/>
      <c r="AC502" s="49">
        <v>0</v>
      </c>
      <c r="AD502" s="49"/>
      <c r="AE502" s="49">
        <v>0</v>
      </c>
      <c r="AF502" s="49"/>
      <c r="AG502" s="49">
        <v>0</v>
      </c>
      <c r="AH502" s="49"/>
      <c r="AI502" s="49">
        <f t="shared" si="24"/>
        <v>169222.37000000002</v>
      </c>
      <c r="AK502" s="6" t="str">
        <f>'Gen Rev'!A502</f>
        <v>Prospect</v>
      </c>
      <c r="AL502" s="6" t="str">
        <f t="shared" si="22"/>
        <v>Prospect</v>
      </c>
      <c r="AM502" s="6" t="b">
        <f t="shared" si="23"/>
        <v>1</v>
      </c>
    </row>
    <row r="503" spans="1:39" x14ac:dyDescent="0.2">
      <c r="A503" s="6" t="s">
        <v>167</v>
      </c>
      <c r="C503" s="6" t="s">
        <v>192</v>
      </c>
      <c r="E503" s="49">
        <v>820717.63</v>
      </c>
      <c r="F503" s="49"/>
      <c r="G503" s="49">
        <v>0</v>
      </c>
      <c r="H503" s="49"/>
      <c r="I503" s="49">
        <v>5823373.2999999998</v>
      </c>
      <c r="J503" s="49"/>
      <c r="K503" s="49">
        <v>19275.12</v>
      </c>
      <c r="L503" s="49"/>
      <c r="M503" s="49">
        <v>569261.39</v>
      </c>
      <c r="N503" s="49"/>
      <c r="O503" s="49">
        <v>114241.77</v>
      </c>
      <c r="P503" s="49"/>
      <c r="Q503" s="49">
        <v>15006.18</v>
      </c>
      <c r="R503" s="49"/>
      <c r="S503" s="49">
        <v>139441.60999999999</v>
      </c>
      <c r="T503" s="49"/>
      <c r="U503" s="49">
        <v>0</v>
      </c>
      <c r="V503" s="49"/>
      <c r="W503" s="49">
        <v>0</v>
      </c>
      <c r="X503" s="49"/>
      <c r="Y503" s="49">
        <v>0</v>
      </c>
      <c r="Z503" s="49"/>
      <c r="AA503" s="49">
        <v>5975.74</v>
      </c>
      <c r="AB503" s="49"/>
      <c r="AC503" s="49">
        <v>34388</v>
      </c>
      <c r="AD503" s="49"/>
      <c r="AE503" s="49">
        <v>0</v>
      </c>
      <c r="AF503" s="49"/>
      <c r="AG503" s="49">
        <v>0</v>
      </c>
      <c r="AH503" s="49"/>
      <c r="AI503" s="49">
        <f t="shared" si="24"/>
        <v>7541680.7399999993</v>
      </c>
      <c r="AK503" s="6" t="str">
        <f>'Gen Rev'!A503</f>
        <v>Put-In-Bay</v>
      </c>
      <c r="AL503" s="6" t="str">
        <f t="shared" si="22"/>
        <v>Put-In-Bay</v>
      </c>
      <c r="AM503" s="6" t="b">
        <f t="shared" si="23"/>
        <v>1</v>
      </c>
    </row>
    <row r="504" spans="1:39" x14ac:dyDescent="0.2">
      <c r="A504" s="6" t="s">
        <v>84</v>
      </c>
      <c r="C504" s="6" t="s">
        <v>349</v>
      </c>
      <c r="E504" s="49">
        <v>21660</v>
      </c>
      <c r="F504" s="49"/>
      <c r="G504" s="49">
        <v>0</v>
      </c>
      <c r="H504" s="49"/>
      <c r="I504" s="49">
        <v>43317.57</v>
      </c>
      <c r="J504" s="49"/>
      <c r="K504" s="49">
        <v>0</v>
      </c>
      <c r="L504" s="49"/>
      <c r="M504" s="49">
        <v>57560.67</v>
      </c>
      <c r="N504" s="49"/>
      <c r="O504" s="49">
        <v>0</v>
      </c>
      <c r="P504" s="49"/>
      <c r="Q504" s="49">
        <v>177.86</v>
      </c>
      <c r="R504" s="49"/>
      <c r="S504" s="49">
        <v>156163.99</v>
      </c>
      <c r="T504" s="49"/>
      <c r="U504" s="49">
        <v>0</v>
      </c>
      <c r="V504" s="49"/>
      <c r="W504" s="49">
        <v>0</v>
      </c>
      <c r="X504" s="49"/>
      <c r="Y504" s="49">
        <v>0</v>
      </c>
      <c r="Z504" s="49"/>
      <c r="AA504" s="49">
        <v>0</v>
      </c>
      <c r="AB504" s="49"/>
      <c r="AC504" s="49">
        <v>0</v>
      </c>
      <c r="AD504" s="49"/>
      <c r="AE504" s="49">
        <v>11764.32</v>
      </c>
      <c r="AF504" s="49"/>
      <c r="AG504" s="49">
        <v>0</v>
      </c>
      <c r="AH504" s="49"/>
      <c r="AI504" s="49">
        <f t="shared" si="24"/>
        <v>290644.40999999997</v>
      </c>
      <c r="AK504" s="6" t="str">
        <f>'Gen Rev'!A504</f>
        <v>Quaker City</v>
      </c>
      <c r="AL504" s="6" t="str">
        <f t="shared" si="22"/>
        <v>Quaker City</v>
      </c>
      <c r="AM504" s="6" t="b">
        <f t="shared" si="23"/>
        <v>1</v>
      </c>
    </row>
    <row r="505" spans="1:39" x14ac:dyDescent="0.2">
      <c r="A505" s="6" t="s">
        <v>125</v>
      </c>
      <c r="C505" s="6" t="s">
        <v>414</v>
      </c>
      <c r="E505" s="49">
        <v>30441.25</v>
      </c>
      <c r="F505" s="49"/>
      <c r="G505" s="49">
        <v>60932.42</v>
      </c>
      <c r="H505" s="49"/>
      <c r="I505" s="49">
        <v>47402.9</v>
      </c>
      <c r="J505" s="49"/>
      <c r="K505" s="49">
        <v>0</v>
      </c>
      <c r="L505" s="49"/>
      <c r="M505" s="49">
        <v>6005</v>
      </c>
      <c r="N505" s="49"/>
      <c r="O505" s="49">
        <v>3543.6</v>
      </c>
      <c r="P505" s="49"/>
      <c r="Q505" s="49">
        <v>351.05</v>
      </c>
      <c r="R505" s="49"/>
      <c r="S505" s="49">
        <v>11114.01</v>
      </c>
      <c r="T505" s="49"/>
      <c r="U505" s="49">
        <v>0</v>
      </c>
      <c r="V505" s="49"/>
      <c r="W505" s="49">
        <v>0</v>
      </c>
      <c r="X505" s="49"/>
      <c r="Y505" s="49">
        <v>0</v>
      </c>
      <c r="Z505" s="49"/>
      <c r="AA505" s="49">
        <v>0</v>
      </c>
      <c r="AB505" s="49"/>
      <c r="AC505" s="49">
        <v>0</v>
      </c>
      <c r="AD505" s="49"/>
      <c r="AE505" s="49">
        <v>0</v>
      </c>
      <c r="AF505" s="49"/>
      <c r="AG505" s="49">
        <v>19.73</v>
      </c>
      <c r="AH505" s="49"/>
      <c r="AI505" s="49">
        <f t="shared" si="24"/>
        <v>159809.96000000002</v>
      </c>
      <c r="AK505" s="6" t="str">
        <f>'Gen Rev'!A505</f>
        <v>Quincy</v>
      </c>
      <c r="AL505" s="6" t="str">
        <f t="shared" si="22"/>
        <v>Quincy</v>
      </c>
      <c r="AM505" s="6" t="b">
        <f t="shared" si="23"/>
        <v>1</v>
      </c>
    </row>
    <row r="506" spans="1:39" x14ac:dyDescent="0.2">
      <c r="A506" s="6" t="s">
        <v>146</v>
      </c>
      <c r="C506" s="6" t="s">
        <v>431</v>
      </c>
      <c r="E506" s="49">
        <v>67866.66</v>
      </c>
      <c r="F506" s="49"/>
      <c r="G506" s="49">
        <v>0</v>
      </c>
      <c r="H506" s="49"/>
      <c r="I506" s="49">
        <v>82222.86</v>
      </c>
      <c r="J506" s="49"/>
      <c r="K506" s="49">
        <v>18100</v>
      </c>
      <c r="L506" s="49"/>
      <c r="M506" s="49">
        <v>123456.4</v>
      </c>
      <c r="N506" s="49"/>
      <c r="O506" s="49">
        <v>2877</v>
      </c>
      <c r="P506" s="49"/>
      <c r="Q506" s="49">
        <v>1708.06</v>
      </c>
      <c r="R506" s="49"/>
      <c r="S506" s="49">
        <v>69303.520000000004</v>
      </c>
      <c r="T506" s="49"/>
      <c r="U506" s="49">
        <v>0</v>
      </c>
      <c r="V506" s="49"/>
      <c r="W506" s="49">
        <v>0</v>
      </c>
      <c r="X506" s="49"/>
      <c r="Y506" s="49">
        <v>0</v>
      </c>
      <c r="Z506" s="49"/>
      <c r="AA506" s="49">
        <v>0</v>
      </c>
      <c r="AB506" s="49"/>
      <c r="AC506" s="49">
        <v>0</v>
      </c>
      <c r="AD506" s="49"/>
      <c r="AE506" s="49">
        <v>0</v>
      </c>
      <c r="AF506" s="49"/>
      <c r="AG506" s="49">
        <v>0</v>
      </c>
      <c r="AH506" s="49"/>
      <c r="AI506" s="49">
        <f t="shared" si="24"/>
        <v>365534.50000000006</v>
      </c>
      <c r="AK506" s="6" t="str">
        <f>'Gen Rev'!A506</f>
        <v>Racine</v>
      </c>
      <c r="AL506" s="6" t="str">
        <f t="shared" si="22"/>
        <v>Racine</v>
      </c>
      <c r="AM506" s="6" t="b">
        <f t="shared" si="23"/>
        <v>1</v>
      </c>
    </row>
    <row r="507" spans="1:39" x14ac:dyDescent="0.2">
      <c r="A507" s="6" t="s">
        <v>492</v>
      </c>
      <c r="C507" s="6" t="s">
        <v>491</v>
      </c>
      <c r="E507" s="49">
        <v>0</v>
      </c>
      <c r="F507" s="49"/>
      <c r="G507" s="49">
        <v>0</v>
      </c>
      <c r="H507" s="49"/>
      <c r="I507" s="49">
        <v>0</v>
      </c>
      <c r="J507" s="49"/>
      <c r="K507" s="49">
        <v>0</v>
      </c>
      <c r="L507" s="49"/>
      <c r="M507" s="49">
        <v>0</v>
      </c>
      <c r="N507" s="49"/>
      <c r="O507" s="49">
        <v>0</v>
      </c>
      <c r="P507" s="49"/>
      <c r="Q507" s="49">
        <v>0</v>
      </c>
      <c r="R507" s="49"/>
      <c r="S507" s="49">
        <v>153916</v>
      </c>
      <c r="T507" s="49"/>
      <c r="U507" s="49">
        <v>0</v>
      </c>
      <c r="V507" s="49"/>
      <c r="W507" s="49">
        <v>0</v>
      </c>
      <c r="X507" s="49"/>
      <c r="Y507" s="49">
        <v>0</v>
      </c>
      <c r="Z507" s="49"/>
      <c r="AA507" s="49">
        <v>0</v>
      </c>
      <c r="AB507" s="49"/>
      <c r="AC507" s="49">
        <v>0</v>
      </c>
      <c r="AD507" s="49"/>
      <c r="AE507" s="49">
        <v>0</v>
      </c>
      <c r="AF507" s="49"/>
      <c r="AG507" s="49">
        <v>0</v>
      </c>
      <c r="AH507" s="49"/>
      <c r="AI507" s="49">
        <f t="shared" si="24"/>
        <v>153916</v>
      </c>
      <c r="AK507" s="6" t="str">
        <f>'Gen Rev'!A507</f>
        <v>Rarden</v>
      </c>
      <c r="AL507" s="6" t="str">
        <f t="shared" si="22"/>
        <v>Rarden</v>
      </c>
      <c r="AM507" s="6" t="b">
        <f t="shared" si="23"/>
        <v>1</v>
      </c>
    </row>
    <row r="508" spans="1:39" x14ac:dyDescent="0.2">
      <c r="A508" s="6" t="s">
        <v>362</v>
      </c>
      <c r="C508" s="6" t="s">
        <v>360</v>
      </c>
      <c r="E508" s="49">
        <v>10955.68</v>
      </c>
      <c r="F508" s="49"/>
      <c r="G508" s="49">
        <v>0</v>
      </c>
      <c r="H508" s="49"/>
      <c r="I508" s="49">
        <v>81572.27</v>
      </c>
      <c r="J508" s="49"/>
      <c r="K508" s="49">
        <v>78242.5</v>
      </c>
      <c r="L508" s="49"/>
      <c r="M508" s="49">
        <v>275</v>
      </c>
      <c r="N508" s="49"/>
      <c r="O508" s="49">
        <v>0</v>
      </c>
      <c r="P508" s="49"/>
      <c r="Q508" s="49">
        <v>185.33</v>
      </c>
      <c r="R508" s="49"/>
      <c r="S508" s="49">
        <v>1439.02</v>
      </c>
      <c r="T508" s="49"/>
      <c r="U508" s="49">
        <v>0</v>
      </c>
      <c r="V508" s="49"/>
      <c r="W508" s="49">
        <v>0</v>
      </c>
      <c r="X508" s="49"/>
      <c r="Y508" s="49">
        <v>0</v>
      </c>
      <c r="Z508" s="49"/>
      <c r="AA508" s="49">
        <v>0</v>
      </c>
      <c r="AB508" s="49"/>
      <c r="AC508" s="49">
        <v>0</v>
      </c>
      <c r="AD508" s="49"/>
      <c r="AE508" s="49">
        <v>0</v>
      </c>
      <c r="AF508" s="49"/>
      <c r="AG508" s="49">
        <v>0</v>
      </c>
      <c r="AH508" s="49"/>
      <c r="AI508" s="49">
        <f t="shared" si="24"/>
        <v>172669.8</v>
      </c>
      <c r="AK508" s="6" t="str">
        <f>'Gen Rev'!A508</f>
        <v>Rawson</v>
      </c>
      <c r="AL508" s="6" t="str">
        <f t="shared" si="22"/>
        <v>Rawson</v>
      </c>
      <c r="AM508" s="6" t="b">
        <f t="shared" si="23"/>
        <v>1</v>
      </c>
    </row>
    <row r="509" spans="1:39" x14ac:dyDescent="0.2">
      <c r="A509" s="6" t="s">
        <v>819</v>
      </c>
      <c r="C509" s="6" t="s">
        <v>688</v>
      </c>
      <c r="E509" s="49">
        <v>47672</v>
      </c>
      <c r="F509" s="49"/>
      <c r="G509" s="49">
        <v>0</v>
      </c>
      <c r="H509" s="49"/>
      <c r="I509" s="49">
        <v>37653</v>
      </c>
      <c r="J509" s="49"/>
      <c r="K509" s="49">
        <v>0</v>
      </c>
      <c r="L509" s="49"/>
      <c r="M509" s="49">
        <v>2333</v>
      </c>
      <c r="N509" s="49"/>
      <c r="O509" s="49">
        <v>6685</v>
      </c>
      <c r="P509" s="49"/>
      <c r="Q509" s="49">
        <v>0</v>
      </c>
      <c r="R509" s="49"/>
      <c r="S509" s="49">
        <v>11511</v>
      </c>
      <c r="T509" s="49"/>
      <c r="U509" s="49">
        <v>0</v>
      </c>
      <c r="V509" s="49"/>
      <c r="W509" s="49">
        <v>0</v>
      </c>
      <c r="X509" s="49"/>
      <c r="Y509" s="49">
        <v>10</v>
      </c>
      <c r="Z509" s="49"/>
      <c r="AA509" s="49">
        <v>12227</v>
      </c>
      <c r="AB509" s="49"/>
      <c r="AC509" s="49">
        <v>0</v>
      </c>
      <c r="AD509" s="49"/>
      <c r="AE509" s="49">
        <v>0</v>
      </c>
      <c r="AF509" s="49"/>
      <c r="AG509" s="49">
        <v>0</v>
      </c>
      <c r="AH509" s="49"/>
      <c r="AI509" s="49">
        <f t="shared" si="24"/>
        <v>118091</v>
      </c>
      <c r="AK509" s="6" t="str">
        <f>'Gen Rev'!A509</f>
        <v>Rayland</v>
      </c>
      <c r="AL509" s="6" t="str">
        <f t="shared" si="22"/>
        <v>Rayland</v>
      </c>
      <c r="AM509" s="6" t="b">
        <f t="shared" si="23"/>
        <v>1</v>
      </c>
    </row>
    <row r="510" spans="1:39" x14ac:dyDescent="0.2">
      <c r="A510" s="6" t="s">
        <v>213</v>
      </c>
      <c r="C510" s="6" t="s">
        <v>511</v>
      </c>
      <c r="E510" s="49">
        <v>529393.47</v>
      </c>
      <c r="F510" s="49"/>
      <c r="G510" s="49">
        <v>1667824.82</v>
      </c>
      <c r="H510" s="49"/>
      <c r="I510" s="49">
        <v>223467.68</v>
      </c>
      <c r="J510" s="49"/>
      <c r="K510" s="49">
        <v>6650</v>
      </c>
      <c r="L510" s="49"/>
      <c r="M510" s="49">
        <v>43251.99</v>
      </c>
      <c r="N510" s="49"/>
      <c r="O510" s="49">
        <v>275391.32</v>
      </c>
      <c r="P510" s="49"/>
      <c r="Q510" s="49">
        <v>1127.78</v>
      </c>
      <c r="R510" s="49"/>
      <c r="S510" s="49">
        <v>1473284.78</v>
      </c>
      <c r="T510" s="49"/>
      <c r="U510" s="49">
        <v>0</v>
      </c>
      <c r="V510" s="49"/>
      <c r="W510" s="49">
        <v>0</v>
      </c>
      <c r="X510" s="49"/>
      <c r="Y510" s="49">
        <v>0</v>
      </c>
      <c r="Z510" s="49"/>
      <c r="AA510" s="49">
        <v>1285397.73</v>
      </c>
      <c r="AB510" s="49"/>
      <c r="AC510" s="49">
        <v>50000</v>
      </c>
      <c r="AD510" s="49"/>
      <c r="AE510" s="49">
        <v>35000</v>
      </c>
      <c r="AF510" s="49"/>
      <c r="AG510" s="49">
        <v>32043.03</v>
      </c>
      <c r="AH510" s="49"/>
      <c r="AI510" s="49">
        <f t="shared" si="24"/>
        <v>5622832.6000000006</v>
      </c>
      <c r="AK510" s="6" t="str">
        <f>'Gen Rev'!A510</f>
        <v>Reminderville</v>
      </c>
      <c r="AL510" s="6" t="str">
        <f t="shared" si="22"/>
        <v>Reminderville</v>
      </c>
      <c r="AM510" s="6" t="b">
        <f t="shared" si="23"/>
        <v>1</v>
      </c>
    </row>
    <row r="511" spans="1:39" x14ac:dyDescent="0.2">
      <c r="A511" s="6" t="s">
        <v>840</v>
      </c>
      <c r="C511" s="6" t="s">
        <v>464</v>
      </c>
      <c r="E511" s="49">
        <v>179.71</v>
      </c>
      <c r="F511" s="49"/>
      <c r="G511" s="49">
        <v>0</v>
      </c>
      <c r="H511" s="49"/>
      <c r="I511" s="49">
        <v>5883.89</v>
      </c>
      <c r="J511" s="49"/>
      <c r="K511" s="49">
        <v>0</v>
      </c>
      <c r="L511" s="49"/>
      <c r="M511" s="49">
        <v>0</v>
      </c>
      <c r="N511" s="49"/>
      <c r="O511" s="49">
        <v>0</v>
      </c>
      <c r="P511" s="49"/>
      <c r="Q511" s="49">
        <v>7.32</v>
      </c>
      <c r="R511" s="49"/>
      <c r="S511" s="49">
        <v>1610.59</v>
      </c>
      <c r="T511" s="49"/>
      <c r="U511" s="49">
        <v>0</v>
      </c>
      <c r="V511" s="49"/>
      <c r="W511" s="49">
        <v>0</v>
      </c>
      <c r="X511" s="49"/>
      <c r="Y511" s="49">
        <v>0</v>
      </c>
      <c r="Z511" s="49"/>
      <c r="AA511" s="49">
        <v>0</v>
      </c>
      <c r="AB511" s="49"/>
      <c r="AC511" s="49">
        <v>0</v>
      </c>
      <c r="AD511" s="49"/>
      <c r="AE511" s="49">
        <v>0</v>
      </c>
      <c r="AF511" s="49"/>
      <c r="AG511" s="49">
        <v>0</v>
      </c>
      <c r="AH511" s="49"/>
      <c r="AI511" s="49">
        <f t="shared" si="24"/>
        <v>7681.51</v>
      </c>
      <c r="AK511" s="6" t="str">
        <f>'Gen Rev'!A511</f>
        <v>Rendville</v>
      </c>
      <c r="AL511" s="6" t="str">
        <f t="shared" si="22"/>
        <v>Rendville</v>
      </c>
      <c r="AM511" s="6" t="b">
        <f t="shared" si="23"/>
        <v>1</v>
      </c>
    </row>
    <row r="512" spans="1:39" x14ac:dyDescent="0.2">
      <c r="A512" s="6" t="s">
        <v>496</v>
      </c>
      <c r="C512" s="6" t="s">
        <v>494</v>
      </c>
      <c r="E512" s="49">
        <v>17817.96</v>
      </c>
      <c r="F512" s="49"/>
      <c r="G512" s="49">
        <v>0</v>
      </c>
      <c r="H512" s="49"/>
      <c r="I512" s="49">
        <v>64228.33</v>
      </c>
      <c r="J512" s="49"/>
      <c r="K512" s="49">
        <v>0</v>
      </c>
      <c r="L512" s="49"/>
      <c r="M512" s="49">
        <v>22350</v>
      </c>
      <c r="N512" s="49"/>
      <c r="O512" s="49">
        <v>5290.98</v>
      </c>
      <c r="P512" s="49"/>
      <c r="Q512" s="49">
        <v>2237</v>
      </c>
      <c r="R512" s="49"/>
      <c r="S512" s="49">
        <v>14562.59</v>
      </c>
      <c r="T512" s="49"/>
      <c r="U512" s="49">
        <v>0</v>
      </c>
      <c r="V512" s="49"/>
      <c r="W512" s="49">
        <v>0</v>
      </c>
      <c r="X512" s="49"/>
      <c r="Y512" s="49">
        <v>0</v>
      </c>
      <c r="Z512" s="49"/>
      <c r="AA512" s="49">
        <v>1928.79</v>
      </c>
      <c r="AB512" s="49"/>
      <c r="AC512" s="49">
        <v>0</v>
      </c>
      <c r="AD512" s="49"/>
      <c r="AE512" s="49">
        <v>0</v>
      </c>
      <c r="AF512" s="49"/>
      <c r="AG512" s="49">
        <v>173.68</v>
      </c>
      <c r="AH512" s="49"/>
      <c r="AI512" s="49">
        <f t="shared" si="24"/>
        <v>128589.32999999999</v>
      </c>
      <c r="AK512" s="6" t="str">
        <f>'Gen Rev'!A512</f>
        <v>Republic</v>
      </c>
      <c r="AL512" s="6" t="str">
        <f t="shared" si="22"/>
        <v>Republic</v>
      </c>
      <c r="AM512" s="6" t="b">
        <f t="shared" si="23"/>
        <v>1</v>
      </c>
    </row>
    <row r="513" spans="1:39" x14ac:dyDescent="0.2">
      <c r="A513" s="6" t="s">
        <v>514</v>
      </c>
      <c r="C513" s="6" t="s">
        <v>511</v>
      </c>
      <c r="E513" s="49">
        <v>742421</v>
      </c>
      <c r="F513" s="49"/>
      <c r="G513" s="49">
        <v>8560993</v>
      </c>
      <c r="H513" s="49"/>
      <c r="I513" s="49">
        <v>538189</v>
      </c>
      <c r="J513" s="49"/>
      <c r="K513" s="49">
        <v>485751</v>
      </c>
      <c r="L513" s="49"/>
      <c r="M513" s="49">
        <v>1352476</v>
      </c>
      <c r="N513" s="49"/>
      <c r="O513" s="49">
        <v>159343</v>
      </c>
      <c r="P513" s="49"/>
      <c r="Q513" s="49">
        <v>17932</v>
      </c>
      <c r="R513" s="49"/>
      <c r="S513" s="49">
        <f>19226+77386+145156</f>
        <v>241768</v>
      </c>
      <c r="T513" s="49"/>
      <c r="U513" s="49">
        <v>0</v>
      </c>
      <c r="V513" s="49"/>
      <c r="W513" s="49">
        <v>0</v>
      </c>
      <c r="X513" s="49"/>
      <c r="Y513" s="49">
        <v>0</v>
      </c>
      <c r="Z513" s="49"/>
      <c r="AA513" s="49">
        <v>7329295</v>
      </c>
      <c r="AB513" s="49"/>
      <c r="AC513" s="49">
        <v>0</v>
      </c>
      <c r="AD513" s="49"/>
      <c r="AE513" s="49">
        <v>0</v>
      </c>
      <c r="AF513" s="49"/>
      <c r="AG513" s="49">
        <v>0</v>
      </c>
      <c r="AH513" s="49"/>
      <c r="AI513" s="49">
        <f t="shared" si="24"/>
        <v>19428168</v>
      </c>
      <c r="AK513" s="6" t="str">
        <f>'Gen Rev'!A513</f>
        <v>Richfield</v>
      </c>
      <c r="AL513" s="6" t="str">
        <f t="shared" si="22"/>
        <v>Richfield</v>
      </c>
      <c r="AM513" s="6" t="b">
        <f t="shared" si="23"/>
        <v>1</v>
      </c>
    </row>
    <row r="514" spans="1:39" x14ac:dyDescent="0.2">
      <c r="A514" s="6" t="s">
        <v>113</v>
      </c>
      <c r="C514" s="6" t="s">
        <v>390</v>
      </c>
      <c r="E514" s="49">
        <v>30254.89</v>
      </c>
      <c r="F514" s="49"/>
      <c r="G514" s="49">
        <v>0</v>
      </c>
      <c r="H514" s="49"/>
      <c r="I514" s="49">
        <v>101799.9</v>
      </c>
      <c r="J514" s="49"/>
      <c r="K514" s="49">
        <v>0</v>
      </c>
      <c r="L514" s="49"/>
      <c r="M514" s="49">
        <v>9120</v>
      </c>
      <c r="N514" s="49"/>
      <c r="O514" s="49">
        <v>200</v>
      </c>
      <c r="P514" s="49"/>
      <c r="Q514" s="49">
        <v>4.1100000000000003</v>
      </c>
      <c r="R514" s="49"/>
      <c r="S514" s="49">
        <v>20235</v>
      </c>
      <c r="T514" s="49"/>
      <c r="U514" s="49">
        <v>0</v>
      </c>
      <c r="V514" s="49"/>
      <c r="W514" s="49">
        <v>0</v>
      </c>
      <c r="X514" s="49"/>
      <c r="Y514" s="49">
        <v>0</v>
      </c>
      <c r="Z514" s="49"/>
      <c r="AA514" s="49">
        <v>13091.3</v>
      </c>
      <c r="AB514" s="49"/>
      <c r="AC514" s="49">
        <v>0</v>
      </c>
      <c r="AD514" s="49"/>
      <c r="AE514" s="49">
        <v>1379.32</v>
      </c>
      <c r="AF514" s="49"/>
      <c r="AG514" s="49">
        <v>0</v>
      </c>
      <c r="AH514" s="49"/>
      <c r="AI514" s="49">
        <f t="shared" si="24"/>
        <v>176084.51999999996</v>
      </c>
      <c r="AK514" s="6" t="str">
        <f>'Gen Rev'!A514</f>
        <v>Richmond</v>
      </c>
      <c r="AL514" s="6" t="str">
        <f t="shared" si="22"/>
        <v>Richmond</v>
      </c>
      <c r="AM514" s="6" t="b">
        <f t="shared" si="23"/>
        <v>1</v>
      </c>
    </row>
    <row r="515" spans="1:39" x14ac:dyDescent="0.2">
      <c r="A515" s="6" t="s">
        <v>371</v>
      </c>
      <c r="C515" s="6" t="s">
        <v>366</v>
      </c>
      <c r="E515" s="49">
        <v>10237.4</v>
      </c>
      <c r="F515" s="49"/>
      <c r="G515" s="49">
        <v>23956.39</v>
      </c>
      <c r="H515" s="49"/>
      <c r="I515" s="49">
        <v>19309.689999999999</v>
      </c>
      <c r="J515" s="49"/>
      <c r="K515" s="49">
        <v>0</v>
      </c>
      <c r="L515" s="49"/>
      <c r="M515" s="49">
        <v>4450</v>
      </c>
      <c r="N515" s="49"/>
      <c r="O515" s="49">
        <v>1746.66</v>
      </c>
      <c r="P515" s="49"/>
      <c r="Q515" s="49">
        <v>34.31</v>
      </c>
      <c r="R515" s="49"/>
      <c r="S515" s="49">
        <v>1629.77</v>
      </c>
      <c r="T515" s="49"/>
      <c r="U515" s="49">
        <v>0</v>
      </c>
      <c r="V515" s="49"/>
      <c r="W515" s="49">
        <v>0</v>
      </c>
      <c r="X515" s="49"/>
      <c r="Y515" s="49">
        <v>0</v>
      </c>
      <c r="Z515" s="49"/>
      <c r="AA515" s="49">
        <v>0</v>
      </c>
      <c r="AB515" s="49"/>
      <c r="AC515" s="49">
        <v>2000</v>
      </c>
      <c r="AD515" s="49"/>
      <c r="AE515" s="49">
        <v>484.02</v>
      </c>
      <c r="AF515" s="49"/>
      <c r="AG515" s="49">
        <v>0</v>
      </c>
      <c r="AH515" s="49"/>
      <c r="AI515" s="49">
        <f t="shared" si="24"/>
        <v>63848.239999999991</v>
      </c>
      <c r="AK515" s="6" t="str">
        <f>'Gen Rev'!A515</f>
        <v>Ridgeway</v>
      </c>
      <c r="AL515" s="6" t="str">
        <f t="shared" si="22"/>
        <v>Ridgeway</v>
      </c>
      <c r="AM515" s="6" t="b">
        <f t="shared" si="23"/>
        <v>1</v>
      </c>
    </row>
    <row r="516" spans="1:39" x14ac:dyDescent="0.2">
      <c r="A516" s="6" t="s">
        <v>76</v>
      </c>
      <c r="C516" s="6" t="s">
        <v>338</v>
      </c>
      <c r="E516" s="49">
        <v>673.59</v>
      </c>
      <c r="F516" s="49"/>
      <c r="G516" s="49">
        <v>254007.03</v>
      </c>
      <c r="H516" s="49"/>
      <c r="I516" s="49">
        <v>78666.23</v>
      </c>
      <c r="J516" s="49"/>
      <c r="K516" s="49">
        <v>0</v>
      </c>
      <c r="L516" s="49"/>
      <c r="M516" s="49">
        <v>34382.28</v>
      </c>
      <c r="N516" s="49"/>
      <c r="O516" s="49">
        <v>25211.89</v>
      </c>
      <c r="P516" s="49"/>
      <c r="Q516" s="49">
        <v>38.17</v>
      </c>
      <c r="R516" s="49"/>
      <c r="S516" s="49">
        <v>8170.9</v>
      </c>
      <c r="T516" s="49"/>
      <c r="U516" s="49">
        <v>0</v>
      </c>
      <c r="V516" s="49"/>
      <c r="W516" s="49">
        <v>0</v>
      </c>
      <c r="X516" s="49"/>
      <c r="Y516" s="49">
        <v>0</v>
      </c>
      <c r="Z516" s="49"/>
      <c r="AA516" s="49">
        <v>0</v>
      </c>
      <c r="AB516" s="49"/>
      <c r="AC516" s="49">
        <v>0</v>
      </c>
      <c r="AD516" s="49"/>
      <c r="AE516" s="49">
        <v>0</v>
      </c>
      <c r="AF516" s="49"/>
      <c r="AG516" s="49">
        <v>0</v>
      </c>
      <c r="AH516" s="49"/>
      <c r="AI516" s="49">
        <f t="shared" si="24"/>
        <v>401150.09</v>
      </c>
      <c r="AK516" s="6" t="str">
        <f>'Gen Rev'!A516</f>
        <v>Rio Grande</v>
      </c>
      <c r="AL516" s="6" t="str">
        <f t="shared" si="22"/>
        <v>Rio Grande</v>
      </c>
      <c r="AM516" s="6" t="b">
        <f t="shared" si="23"/>
        <v>1</v>
      </c>
    </row>
    <row r="517" spans="1:39" x14ac:dyDescent="0.2">
      <c r="A517" s="6" t="s">
        <v>266</v>
      </c>
      <c r="C517" s="6" t="s">
        <v>265</v>
      </c>
      <c r="E517" s="49">
        <v>142579.04999999999</v>
      </c>
      <c r="F517" s="49"/>
      <c r="G517" s="49">
        <v>195237.22</v>
      </c>
      <c r="H517" s="49"/>
      <c r="I517" s="49">
        <v>118609.64</v>
      </c>
      <c r="J517" s="49"/>
      <c r="K517" s="49">
        <v>15291.28</v>
      </c>
      <c r="L517" s="49"/>
      <c r="M517" s="49">
        <v>84157.72</v>
      </c>
      <c r="N517" s="49"/>
      <c r="O517" s="49">
        <v>52846.86</v>
      </c>
      <c r="P517" s="49"/>
      <c r="Q517" s="49">
        <v>16037.37</v>
      </c>
      <c r="R517" s="49"/>
      <c r="S517" s="49">
        <v>189896.07</v>
      </c>
      <c r="T517" s="49"/>
      <c r="U517" s="49">
        <v>0</v>
      </c>
      <c r="V517" s="49"/>
      <c r="W517" s="49">
        <v>0</v>
      </c>
      <c r="X517" s="49"/>
      <c r="Y517" s="49">
        <v>0</v>
      </c>
      <c r="Z517" s="49"/>
      <c r="AA517" s="49">
        <v>0</v>
      </c>
      <c r="AB517" s="49"/>
      <c r="AC517" s="49">
        <v>0</v>
      </c>
      <c r="AD517" s="49"/>
      <c r="AE517" s="49">
        <v>0</v>
      </c>
      <c r="AF517" s="49"/>
      <c r="AG517" s="49">
        <v>0</v>
      </c>
      <c r="AH517" s="49"/>
      <c r="AI517" s="49">
        <f t="shared" si="24"/>
        <v>814655.21</v>
      </c>
      <c r="AK517" s="6" t="str">
        <f>'Gen Rev'!A517</f>
        <v>Ripley</v>
      </c>
      <c r="AL517" s="6" t="str">
        <f t="shared" si="22"/>
        <v>Ripley</v>
      </c>
      <c r="AM517" s="6" t="b">
        <f t="shared" si="23"/>
        <v>1</v>
      </c>
    </row>
    <row r="518" spans="1:39" x14ac:dyDescent="0.2">
      <c r="A518" s="6" t="s">
        <v>242</v>
      </c>
      <c r="C518" s="6" t="s">
        <v>558</v>
      </c>
      <c r="E518" s="49">
        <v>86839.32</v>
      </c>
      <c r="F518" s="49"/>
      <c r="G518" s="49">
        <v>0</v>
      </c>
      <c r="H518" s="49"/>
      <c r="I518" s="49">
        <v>45158.51</v>
      </c>
      <c r="J518" s="49"/>
      <c r="K518" s="49">
        <v>0</v>
      </c>
      <c r="L518" s="49"/>
      <c r="M518" s="49">
        <v>113255.79</v>
      </c>
      <c r="N518" s="49"/>
      <c r="O518" s="49">
        <v>38278.339999999997</v>
      </c>
      <c r="P518" s="49"/>
      <c r="Q518" s="49">
        <v>490.62</v>
      </c>
      <c r="R518" s="49"/>
      <c r="S518" s="49">
        <v>8942.44</v>
      </c>
      <c r="T518" s="49"/>
      <c r="U518" s="49">
        <v>0</v>
      </c>
      <c r="V518" s="49"/>
      <c r="W518" s="49">
        <v>0</v>
      </c>
      <c r="X518" s="49"/>
      <c r="Y518" s="49">
        <v>0</v>
      </c>
      <c r="Z518" s="49"/>
      <c r="AA518" s="49">
        <v>19510</v>
      </c>
      <c r="AB518" s="49"/>
      <c r="AC518" s="49">
        <v>10000</v>
      </c>
      <c r="AD518" s="49"/>
      <c r="AE518" s="49">
        <v>0</v>
      </c>
      <c r="AF518" s="49"/>
      <c r="AG518" s="49">
        <v>0</v>
      </c>
      <c r="AH518" s="49"/>
      <c r="AI518" s="49">
        <f t="shared" si="24"/>
        <v>322475.01999999996</v>
      </c>
      <c r="AK518" s="6" t="str">
        <f>'Gen Rev'!A518</f>
        <v>Risingsun</v>
      </c>
      <c r="AL518" s="6" t="str">
        <f t="shared" si="22"/>
        <v>Risingsun</v>
      </c>
      <c r="AM518" s="6" t="b">
        <f t="shared" si="23"/>
        <v>1</v>
      </c>
    </row>
    <row r="519" spans="1:39" x14ac:dyDescent="0.2">
      <c r="A519" s="6" t="s">
        <v>330</v>
      </c>
      <c r="C519" s="6" t="s">
        <v>329</v>
      </c>
      <c r="E519" s="49">
        <v>154559</v>
      </c>
      <c r="F519" s="49"/>
      <c r="G519" s="49">
        <v>0</v>
      </c>
      <c r="H519" s="49"/>
      <c r="I519" s="49">
        <v>58632</v>
      </c>
      <c r="J519" s="49"/>
      <c r="K519" s="49">
        <v>0</v>
      </c>
      <c r="L519" s="49"/>
      <c r="M519" s="49">
        <v>0</v>
      </c>
      <c r="N519" s="49"/>
      <c r="O519" s="49">
        <v>8407</v>
      </c>
      <c r="P519" s="49"/>
      <c r="Q519" s="49">
        <v>1159</v>
      </c>
      <c r="R519" s="49"/>
      <c r="S519" s="49">
        <v>228</v>
      </c>
      <c r="T519" s="49"/>
      <c r="U519" s="49">
        <v>0</v>
      </c>
      <c r="V519" s="49"/>
      <c r="W519" s="49">
        <v>542590</v>
      </c>
      <c r="X519" s="49"/>
      <c r="Y519" s="49">
        <v>0</v>
      </c>
      <c r="Z519" s="49"/>
      <c r="AA519" s="49">
        <v>0</v>
      </c>
      <c r="AB519" s="49"/>
      <c r="AC519" s="49">
        <v>158000</v>
      </c>
      <c r="AD519" s="49"/>
      <c r="AE519" s="49">
        <v>0</v>
      </c>
      <c r="AF519" s="49"/>
      <c r="AG519" s="49">
        <v>0</v>
      </c>
      <c r="AH519" s="49"/>
      <c r="AI519" s="49">
        <f t="shared" si="24"/>
        <v>923575</v>
      </c>
      <c r="AK519" s="6" t="str">
        <f>'Gen Rev'!A519</f>
        <v>Riverlea</v>
      </c>
      <c r="AL519" s="6" t="str">
        <f t="shared" si="22"/>
        <v>Riverlea</v>
      </c>
      <c r="AM519" s="6" t="b">
        <f t="shared" si="23"/>
        <v>1</v>
      </c>
    </row>
    <row r="520" spans="1:39" x14ac:dyDescent="0.2">
      <c r="A520" s="6" t="s">
        <v>623</v>
      </c>
      <c r="B520" s="6" t="s">
        <v>762</v>
      </c>
      <c r="C520" s="6" t="s">
        <v>624</v>
      </c>
      <c r="E520" s="49">
        <v>270282</v>
      </c>
      <c r="F520" s="49"/>
      <c r="G520" s="49">
        <v>0</v>
      </c>
      <c r="H520" s="49"/>
      <c r="I520" s="49">
        <v>204503</v>
      </c>
      <c r="J520" s="49"/>
      <c r="K520" s="49">
        <v>0</v>
      </c>
      <c r="L520" s="49"/>
      <c r="M520" s="49">
        <v>0</v>
      </c>
      <c r="N520" s="49"/>
      <c r="O520" s="49">
        <v>6009</v>
      </c>
      <c r="P520" s="49"/>
      <c r="Q520" s="49">
        <v>2655</v>
      </c>
      <c r="R520" s="49"/>
      <c r="S520" s="49">
        <v>13548</v>
      </c>
      <c r="T520" s="49"/>
      <c r="U520" s="49">
        <v>0</v>
      </c>
      <c r="V520" s="49"/>
      <c r="W520" s="49">
        <v>7707</v>
      </c>
      <c r="X520" s="49"/>
      <c r="Y520" s="49">
        <v>1000</v>
      </c>
      <c r="Z520" s="49"/>
      <c r="AA520" s="49">
        <v>109235</v>
      </c>
      <c r="AB520" s="49"/>
      <c r="AC520" s="49">
        <v>0</v>
      </c>
      <c r="AD520" s="49"/>
      <c r="AE520" s="49">
        <v>40970</v>
      </c>
      <c r="AF520" s="49"/>
      <c r="AG520" s="49">
        <v>0</v>
      </c>
      <c r="AH520" s="49"/>
      <c r="AI520" s="49">
        <f t="shared" si="24"/>
        <v>655909</v>
      </c>
      <c r="AK520" s="6" t="str">
        <f>'Gen Rev'!A520</f>
        <v>Roaming Shores</v>
      </c>
      <c r="AL520" s="6" t="str">
        <f t="shared" si="22"/>
        <v>Roaming Shores</v>
      </c>
      <c r="AM520" s="6" t="b">
        <f t="shared" si="23"/>
        <v>1</v>
      </c>
    </row>
    <row r="521" spans="1:39" x14ac:dyDescent="0.2">
      <c r="A521" s="6" t="s">
        <v>129</v>
      </c>
      <c r="C521" s="6" t="s">
        <v>419</v>
      </c>
      <c r="E521" s="49">
        <v>12702.79</v>
      </c>
      <c r="F521" s="49"/>
      <c r="G521" s="49">
        <v>0</v>
      </c>
      <c r="H521" s="49"/>
      <c r="I521" s="49">
        <v>23125.83</v>
      </c>
      <c r="J521" s="49"/>
      <c r="K521" s="49">
        <v>0</v>
      </c>
      <c r="L521" s="49"/>
      <c r="M521" s="49">
        <v>0</v>
      </c>
      <c r="N521" s="49"/>
      <c r="O521" s="49">
        <v>90</v>
      </c>
      <c r="P521" s="49"/>
      <c r="Q521" s="49">
        <v>2151.2199999999998</v>
      </c>
      <c r="R521" s="49"/>
      <c r="S521" s="49">
        <v>0</v>
      </c>
      <c r="T521" s="49"/>
      <c r="U521" s="49">
        <v>0</v>
      </c>
      <c r="V521" s="49"/>
      <c r="W521" s="49">
        <v>0</v>
      </c>
      <c r="X521" s="49"/>
      <c r="Y521" s="49">
        <v>0</v>
      </c>
      <c r="Z521" s="49"/>
      <c r="AA521" s="49">
        <v>0</v>
      </c>
      <c r="AB521" s="49"/>
      <c r="AC521" s="49">
        <v>0</v>
      </c>
      <c r="AD521" s="49"/>
      <c r="AE521" s="49">
        <v>0</v>
      </c>
      <c r="AF521" s="49"/>
      <c r="AG521" s="49">
        <v>0</v>
      </c>
      <c r="AH521" s="49"/>
      <c r="AI521" s="49">
        <f t="shared" si="24"/>
        <v>38069.840000000004</v>
      </c>
      <c r="AK521" s="6" t="str">
        <f>'Gen Rev'!A521</f>
        <v>Rochester</v>
      </c>
      <c r="AL521" s="6" t="str">
        <f t="shared" si="22"/>
        <v>Rochester</v>
      </c>
      <c r="AM521" s="6" t="b">
        <f t="shared" si="23"/>
        <v>1</v>
      </c>
    </row>
    <row r="522" spans="1:39" x14ac:dyDescent="0.2">
      <c r="A522" s="6" t="s">
        <v>625</v>
      </c>
      <c r="C522" s="6" t="s">
        <v>624</v>
      </c>
      <c r="E522" s="49">
        <v>68238.399999999994</v>
      </c>
      <c r="F522" s="49"/>
      <c r="G522" s="49">
        <v>81340.36</v>
      </c>
      <c r="H522" s="49"/>
      <c r="I522" s="49">
        <v>51948.3</v>
      </c>
      <c r="J522" s="49"/>
      <c r="K522" s="49">
        <v>0</v>
      </c>
      <c r="L522" s="49"/>
      <c r="M522" s="49">
        <v>0</v>
      </c>
      <c r="N522" s="49"/>
      <c r="O522" s="49">
        <v>230</v>
      </c>
      <c r="P522" s="49"/>
      <c r="Q522" s="49">
        <v>283.88</v>
      </c>
      <c r="R522" s="49"/>
      <c r="S522" s="49">
        <v>4962.87</v>
      </c>
      <c r="T522" s="49"/>
      <c r="U522" s="49">
        <v>0</v>
      </c>
      <c r="V522" s="49"/>
      <c r="W522" s="49">
        <v>0</v>
      </c>
      <c r="X522" s="49"/>
      <c r="Y522" s="49">
        <v>0</v>
      </c>
      <c r="Z522" s="49"/>
      <c r="AA522" s="49">
        <v>0</v>
      </c>
      <c r="AB522" s="49"/>
      <c r="AC522" s="49">
        <v>0</v>
      </c>
      <c r="AD522" s="49"/>
      <c r="AE522" s="49">
        <v>0</v>
      </c>
      <c r="AF522" s="49"/>
      <c r="AG522" s="49">
        <v>0</v>
      </c>
      <c r="AH522" s="49"/>
      <c r="AI522" s="49">
        <f t="shared" si="24"/>
        <v>207003.81</v>
      </c>
      <c r="AK522" s="6" t="str">
        <f>'Gen Rev'!A522</f>
        <v>Rock Creek</v>
      </c>
      <c r="AL522" s="6" t="str">
        <f t="shared" si="22"/>
        <v>Rock Creek</v>
      </c>
      <c r="AM522" s="6" t="b">
        <f t="shared" si="23"/>
        <v>1</v>
      </c>
    </row>
    <row r="523" spans="1:39" x14ac:dyDescent="0.2">
      <c r="A523" s="6" t="s">
        <v>435</v>
      </c>
      <c r="C523" s="6" t="s">
        <v>433</v>
      </c>
      <c r="E523" s="49">
        <v>49982.79</v>
      </c>
      <c r="F523" s="49"/>
      <c r="G523" s="49">
        <v>255931.65</v>
      </c>
      <c r="H523" s="49"/>
      <c r="I523" s="49">
        <v>88439.98</v>
      </c>
      <c r="J523" s="49"/>
      <c r="K523" s="49">
        <v>67901.39</v>
      </c>
      <c r="L523" s="49"/>
      <c r="M523" s="49">
        <v>0</v>
      </c>
      <c r="N523" s="49"/>
      <c r="O523" s="49">
        <v>22183.1</v>
      </c>
      <c r="P523" s="49"/>
      <c r="Q523" s="49">
        <v>1305.55</v>
      </c>
      <c r="R523" s="49"/>
      <c r="S523" s="49">
        <v>13248.5</v>
      </c>
      <c r="T523" s="49"/>
      <c r="U523" s="49">
        <v>0</v>
      </c>
      <c r="V523" s="49"/>
      <c r="W523" s="49">
        <v>0</v>
      </c>
      <c r="X523" s="49"/>
      <c r="Y523" s="49">
        <v>0</v>
      </c>
      <c r="Z523" s="49"/>
      <c r="AA523" s="49">
        <v>2800</v>
      </c>
      <c r="AB523" s="49"/>
      <c r="AC523" s="49">
        <v>0</v>
      </c>
      <c r="AD523" s="49"/>
      <c r="AE523" s="49">
        <v>0</v>
      </c>
      <c r="AF523" s="49"/>
      <c r="AG523" s="49">
        <v>0</v>
      </c>
      <c r="AH523" s="49"/>
      <c r="AI523" s="49">
        <f t="shared" si="24"/>
        <v>501792.95999999996</v>
      </c>
      <c r="AK523" s="6" t="str">
        <f>'Gen Rev'!A523</f>
        <v>Rockford</v>
      </c>
      <c r="AL523" s="6" t="str">
        <f t="shared" si="22"/>
        <v>Rockford</v>
      </c>
      <c r="AM523" s="6" t="b">
        <f t="shared" si="23"/>
        <v>1</v>
      </c>
    </row>
    <row r="524" spans="1:39" x14ac:dyDescent="0.2">
      <c r="A524" s="6" t="s">
        <v>701</v>
      </c>
      <c r="C524" s="6" t="s">
        <v>192</v>
      </c>
      <c r="E524" s="49">
        <v>29858.799999999999</v>
      </c>
      <c r="F524" s="49"/>
      <c r="G524" s="49">
        <v>0</v>
      </c>
      <c r="H524" s="49"/>
      <c r="I524" s="49">
        <v>42498.38</v>
      </c>
      <c r="J524" s="49"/>
      <c r="K524" s="49">
        <v>0</v>
      </c>
      <c r="L524" s="49"/>
      <c r="M524" s="49">
        <v>23471.64</v>
      </c>
      <c r="N524" s="49"/>
      <c r="O524" s="49">
        <v>1489.07</v>
      </c>
      <c r="P524" s="49"/>
      <c r="Q524" s="49">
        <v>30.1</v>
      </c>
      <c r="R524" s="49"/>
      <c r="S524" s="49">
        <v>40264.68</v>
      </c>
      <c r="T524" s="49"/>
      <c r="U524" s="49">
        <v>0</v>
      </c>
      <c r="V524" s="49"/>
      <c r="W524" s="49">
        <v>0</v>
      </c>
      <c r="X524" s="49"/>
      <c r="Y524" s="49">
        <v>0</v>
      </c>
      <c r="Z524" s="49"/>
      <c r="AA524" s="49">
        <v>4000</v>
      </c>
      <c r="AB524" s="49"/>
      <c r="AC524" s="49">
        <v>4000</v>
      </c>
      <c r="AD524" s="49"/>
      <c r="AE524" s="49">
        <v>0</v>
      </c>
      <c r="AF524" s="49"/>
      <c r="AG524" s="49">
        <v>0</v>
      </c>
      <c r="AH524" s="49"/>
      <c r="AI524" s="49">
        <f t="shared" si="24"/>
        <v>145612.67000000001</v>
      </c>
      <c r="AK524" s="6" t="str">
        <f>'Gen Rev'!A524</f>
        <v>Rocky Ridge</v>
      </c>
      <c r="AL524" s="6" t="str">
        <f t="shared" si="22"/>
        <v>Rocky Ridge</v>
      </c>
      <c r="AM524" s="6" t="b">
        <f t="shared" si="23"/>
        <v>1</v>
      </c>
    </row>
    <row r="525" spans="1:39" x14ac:dyDescent="0.2">
      <c r="A525" s="6" t="s">
        <v>43</v>
      </c>
      <c r="C525" s="6" t="s">
        <v>283</v>
      </c>
      <c r="E525" s="49">
        <v>16800.490000000002</v>
      </c>
      <c r="F525" s="49"/>
      <c r="G525" s="49">
        <v>0</v>
      </c>
      <c r="H525" s="49"/>
      <c r="I525" s="49">
        <v>31191.02</v>
      </c>
      <c r="J525" s="49"/>
      <c r="K525" s="49">
        <v>0</v>
      </c>
      <c r="L525" s="49"/>
      <c r="M525" s="49">
        <v>0</v>
      </c>
      <c r="N525" s="49"/>
      <c r="O525" s="49">
        <v>0</v>
      </c>
      <c r="P525" s="49"/>
      <c r="Q525" s="49">
        <v>0</v>
      </c>
      <c r="R525" s="49"/>
      <c r="S525" s="49">
        <v>1992.68</v>
      </c>
      <c r="T525" s="49"/>
      <c r="U525" s="49">
        <v>0</v>
      </c>
      <c r="V525" s="49"/>
      <c r="W525" s="49">
        <v>0</v>
      </c>
      <c r="X525" s="49"/>
      <c r="Y525" s="49">
        <v>0</v>
      </c>
      <c r="Z525" s="49"/>
      <c r="AA525" s="49">
        <v>0</v>
      </c>
      <c r="AB525" s="49"/>
      <c r="AC525" s="49">
        <v>0</v>
      </c>
      <c r="AD525" s="49"/>
      <c r="AE525" s="49">
        <v>0</v>
      </c>
      <c r="AF525" s="49"/>
      <c r="AG525" s="49">
        <v>0</v>
      </c>
      <c r="AH525" s="49"/>
      <c r="AI525" s="49">
        <f t="shared" si="24"/>
        <v>49984.19</v>
      </c>
      <c r="AK525" s="6" t="str">
        <f>'Gen Rev'!A525</f>
        <v>Rogers</v>
      </c>
      <c r="AL525" s="6" t="str">
        <f t="shared" si="22"/>
        <v>Rogers</v>
      </c>
      <c r="AM525" s="6" t="b">
        <f t="shared" si="23"/>
        <v>1</v>
      </c>
    </row>
    <row r="526" spans="1:39" x14ac:dyDescent="0.2">
      <c r="A526" s="6" t="s">
        <v>702</v>
      </c>
      <c r="C526" s="6" t="s">
        <v>616</v>
      </c>
      <c r="E526" s="49">
        <v>3481</v>
      </c>
      <c r="F526" s="49"/>
      <c r="G526" s="49">
        <v>0</v>
      </c>
      <c r="H526" s="49"/>
      <c r="I526" s="49">
        <v>1017</v>
      </c>
      <c r="J526" s="49"/>
      <c r="K526" s="49">
        <v>4449</v>
      </c>
      <c r="L526" s="49"/>
      <c r="M526" s="49">
        <v>0</v>
      </c>
      <c r="N526" s="49"/>
      <c r="O526" s="49">
        <v>814</v>
      </c>
      <c r="P526" s="49"/>
      <c r="Q526" s="49">
        <v>0</v>
      </c>
      <c r="R526" s="49"/>
      <c r="S526" s="49">
        <v>107</v>
      </c>
      <c r="T526" s="49"/>
      <c r="U526" s="49">
        <v>0</v>
      </c>
      <c r="V526" s="49"/>
      <c r="W526" s="49">
        <v>0</v>
      </c>
      <c r="X526" s="49"/>
      <c r="Y526" s="49">
        <v>0</v>
      </c>
      <c r="Z526" s="49"/>
      <c r="AA526" s="49">
        <v>0</v>
      </c>
      <c r="AB526" s="49"/>
      <c r="AC526" s="49">
        <v>0</v>
      </c>
      <c r="AD526" s="49"/>
      <c r="AE526" s="49">
        <v>0</v>
      </c>
      <c r="AF526" s="49"/>
      <c r="AG526" s="49">
        <v>0</v>
      </c>
      <c r="AH526" s="49"/>
      <c r="AI526" s="49">
        <f t="shared" si="24"/>
        <v>9868</v>
      </c>
      <c r="AK526" s="6" t="str">
        <f>'Gen Rev'!A526</f>
        <v>Rome</v>
      </c>
      <c r="AL526" s="6" t="str">
        <f t="shared" si="22"/>
        <v>Rome</v>
      </c>
      <c r="AM526" s="6" t="b">
        <f t="shared" si="23"/>
        <v>1</v>
      </c>
    </row>
    <row r="527" spans="1:39" x14ac:dyDescent="0.2">
      <c r="A527" s="6" t="s">
        <v>453</v>
      </c>
      <c r="C527" s="6" t="s">
        <v>450</v>
      </c>
      <c r="E527" s="49">
        <v>99540.160000000003</v>
      </c>
      <c r="F527" s="49"/>
      <c r="G527" s="49">
        <v>134364.82</v>
      </c>
      <c r="H527" s="49"/>
      <c r="I527" s="49">
        <v>184525.82</v>
      </c>
      <c r="J527" s="49"/>
      <c r="K527" s="49">
        <v>0</v>
      </c>
      <c r="L527" s="49"/>
      <c r="M527" s="49">
        <v>123757.94</v>
      </c>
      <c r="N527" s="49"/>
      <c r="O527" s="49">
        <v>19941.259999999998</v>
      </c>
      <c r="P527" s="49"/>
      <c r="Q527" s="49">
        <v>1286.42</v>
      </c>
      <c r="R527" s="49"/>
      <c r="S527" s="49">
        <v>41674.480000000003</v>
      </c>
      <c r="T527" s="49"/>
      <c r="U527" s="49">
        <v>0</v>
      </c>
      <c r="V527" s="49"/>
      <c r="W527" s="49">
        <v>0</v>
      </c>
      <c r="X527" s="49"/>
      <c r="Y527" s="49">
        <v>0</v>
      </c>
      <c r="Z527" s="49"/>
      <c r="AA527" s="49">
        <v>51482.97</v>
      </c>
      <c r="AB527" s="49"/>
      <c r="AC527" s="49">
        <v>12750</v>
      </c>
      <c r="AD527" s="49"/>
      <c r="AE527" s="49">
        <v>0</v>
      </c>
      <c r="AF527" s="49"/>
      <c r="AG527" s="49">
        <v>0</v>
      </c>
      <c r="AH527" s="49"/>
      <c r="AI527" s="49">
        <f t="shared" si="24"/>
        <v>669323.87</v>
      </c>
      <c r="AK527" s="6" t="str">
        <f>'Gen Rev'!A527</f>
        <v>Roseville</v>
      </c>
      <c r="AL527" s="6" t="str">
        <f t="shared" si="22"/>
        <v>Roseville</v>
      </c>
      <c r="AM527" s="6" t="b">
        <f t="shared" si="23"/>
        <v>1</v>
      </c>
    </row>
    <row r="528" spans="1:39" x14ac:dyDescent="0.2">
      <c r="A528" s="6" t="s">
        <v>313</v>
      </c>
      <c r="C528" s="6" t="s">
        <v>306</v>
      </c>
      <c r="E528" s="49">
        <v>8819</v>
      </c>
      <c r="F528" s="49"/>
      <c r="G528" s="49">
        <v>0</v>
      </c>
      <c r="H528" s="49"/>
      <c r="I528" s="49">
        <v>29825</v>
      </c>
      <c r="J528" s="49"/>
      <c r="K528" s="49">
        <v>17516</v>
      </c>
      <c r="L528" s="49"/>
      <c r="M528" s="49">
        <v>0</v>
      </c>
      <c r="N528" s="49"/>
      <c r="O528" s="49">
        <v>0</v>
      </c>
      <c r="P528" s="49"/>
      <c r="Q528" s="49">
        <v>31</v>
      </c>
      <c r="R528" s="49"/>
      <c r="S528" s="49">
        <v>238</v>
      </c>
      <c r="T528" s="49"/>
      <c r="U528" s="49">
        <v>0</v>
      </c>
      <c r="V528" s="49"/>
      <c r="W528" s="49">
        <v>0</v>
      </c>
      <c r="X528" s="49"/>
      <c r="Y528" s="49">
        <v>0</v>
      </c>
      <c r="Z528" s="49"/>
      <c r="AA528" s="49">
        <v>10334</v>
      </c>
      <c r="AB528" s="49"/>
      <c r="AC528" s="49">
        <v>0</v>
      </c>
      <c r="AD528" s="49"/>
      <c r="AE528" s="49">
        <v>0</v>
      </c>
      <c r="AF528" s="49"/>
      <c r="AG528" s="49">
        <v>0</v>
      </c>
      <c r="AH528" s="49"/>
      <c r="AI528" s="49">
        <f t="shared" si="24"/>
        <v>66763</v>
      </c>
      <c r="AK528" s="6" t="str">
        <f>'Gen Rev'!A528</f>
        <v>Rossburg</v>
      </c>
      <c r="AL528" s="6" t="str">
        <f t="shared" si="22"/>
        <v>Rossburg</v>
      </c>
      <c r="AM528" s="6" t="b">
        <f t="shared" si="23"/>
        <v>1</v>
      </c>
    </row>
    <row r="529" spans="1:39" x14ac:dyDescent="0.2">
      <c r="A529" s="6" t="s">
        <v>776</v>
      </c>
      <c r="C529" s="6" t="s">
        <v>521</v>
      </c>
      <c r="E529" s="49">
        <v>19747.32</v>
      </c>
      <c r="F529" s="49"/>
      <c r="G529" s="49">
        <v>18212.48</v>
      </c>
      <c r="H529" s="49"/>
      <c r="I529" s="49">
        <v>18770.71</v>
      </c>
      <c r="J529" s="49"/>
      <c r="K529" s="49">
        <v>0</v>
      </c>
      <c r="L529" s="49"/>
      <c r="M529" s="49">
        <v>0</v>
      </c>
      <c r="N529" s="49"/>
      <c r="O529" s="49">
        <v>1127</v>
      </c>
      <c r="P529" s="49"/>
      <c r="Q529" s="49">
        <v>4.1100000000000003</v>
      </c>
      <c r="R529" s="49"/>
      <c r="S529" s="49">
        <v>12771.01</v>
      </c>
      <c r="T529" s="49"/>
      <c r="U529" s="49">
        <v>0</v>
      </c>
      <c r="V529" s="49"/>
      <c r="W529" s="49">
        <v>0</v>
      </c>
      <c r="X529" s="49"/>
      <c r="Y529" s="49">
        <v>0</v>
      </c>
      <c r="Z529" s="49"/>
      <c r="AA529" s="49">
        <v>0</v>
      </c>
      <c r="AB529" s="49"/>
      <c r="AC529" s="49">
        <v>0</v>
      </c>
      <c r="AD529" s="49"/>
      <c r="AE529" s="49">
        <v>3400</v>
      </c>
      <c r="AF529" s="49"/>
      <c r="AG529" s="49">
        <v>0</v>
      </c>
      <c r="AH529" s="49"/>
      <c r="AI529" s="49">
        <f t="shared" si="24"/>
        <v>74032.63</v>
      </c>
      <c r="AK529" s="6" t="str">
        <f>'Gen Rev'!A529</f>
        <v>Roswell</v>
      </c>
      <c r="AL529" s="6" t="str">
        <f t="shared" si="22"/>
        <v>Roswell</v>
      </c>
      <c r="AM529" s="6" t="b">
        <f t="shared" si="23"/>
        <v>1</v>
      </c>
    </row>
    <row r="530" spans="1:39" x14ac:dyDescent="0.2">
      <c r="A530" s="6" t="s">
        <v>725</v>
      </c>
      <c r="C530" s="6" t="s">
        <v>414</v>
      </c>
      <c r="E530" s="49">
        <v>62893.91</v>
      </c>
      <c r="F530" s="49"/>
      <c r="G530" s="49">
        <v>0</v>
      </c>
      <c r="H530" s="49"/>
      <c r="I530" s="49">
        <v>67883.19</v>
      </c>
      <c r="J530" s="49"/>
      <c r="K530" s="49">
        <v>0</v>
      </c>
      <c r="L530" s="49"/>
      <c r="M530" s="49">
        <v>0</v>
      </c>
      <c r="N530" s="49"/>
      <c r="O530" s="49">
        <v>3162.11</v>
      </c>
      <c r="P530" s="49"/>
      <c r="Q530" s="49">
        <v>654.11</v>
      </c>
      <c r="R530" s="49"/>
      <c r="S530" s="49">
        <v>4415.5600000000004</v>
      </c>
      <c r="T530" s="49"/>
      <c r="U530" s="49">
        <v>0</v>
      </c>
      <c r="V530" s="49"/>
      <c r="W530" s="49">
        <v>0</v>
      </c>
      <c r="X530" s="49"/>
      <c r="Y530" s="49">
        <v>0</v>
      </c>
      <c r="Z530" s="49"/>
      <c r="AA530" s="49">
        <v>0</v>
      </c>
      <c r="AB530" s="49"/>
      <c r="AC530" s="49">
        <v>0</v>
      </c>
      <c r="AD530" s="49"/>
      <c r="AE530" s="49">
        <v>0</v>
      </c>
      <c r="AF530" s="49"/>
      <c r="AG530" s="49">
        <v>0</v>
      </c>
      <c r="AH530" s="49"/>
      <c r="AI530" s="49">
        <f t="shared" si="24"/>
        <v>139008.87999999998</v>
      </c>
      <c r="AK530" s="6" t="str">
        <f>'Gen Rev'!A530</f>
        <v>Rushsylvania</v>
      </c>
      <c r="AL530" s="6" t="str">
        <f t="shared" si="22"/>
        <v>Rushsylvania</v>
      </c>
      <c r="AM530" s="6" t="b">
        <f t="shared" si="23"/>
        <v>1</v>
      </c>
    </row>
    <row r="531" spans="1:39" x14ac:dyDescent="0.2">
      <c r="A531" s="6" t="s">
        <v>60</v>
      </c>
      <c r="C531" s="6" t="s">
        <v>327</v>
      </c>
      <c r="E531" s="49">
        <v>8344.7099999999991</v>
      </c>
      <c r="F531" s="49"/>
      <c r="G531" s="49">
        <v>0</v>
      </c>
      <c r="H531" s="49"/>
      <c r="I531" s="49">
        <v>17760.560000000001</v>
      </c>
      <c r="J531" s="49"/>
      <c r="K531" s="49">
        <v>0</v>
      </c>
      <c r="L531" s="49"/>
      <c r="M531" s="49">
        <v>1500</v>
      </c>
      <c r="N531" s="49"/>
      <c r="O531" s="49">
        <v>12070.35</v>
      </c>
      <c r="P531" s="49"/>
      <c r="Q531" s="49">
        <v>1940.11</v>
      </c>
      <c r="R531" s="49"/>
      <c r="S531" s="49">
        <v>1147.18</v>
      </c>
      <c r="T531" s="49"/>
      <c r="U531" s="49">
        <v>0</v>
      </c>
      <c r="V531" s="49"/>
      <c r="W531" s="49">
        <v>0</v>
      </c>
      <c r="X531" s="49"/>
      <c r="Y531" s="49">
        <v>0</v>
      </c>
      <c r="Z531" s="49"/>
      <c r="AA531" s="49">
        <v>0</v>
      </c>
      <c r="AB531" s="49"/>
      <c r="AC531" s="49">
        <v>0</v>
      </c>
      <c r="AD531" s="49"/>
      <c r="AE531" s="49">
        <v>0</v>
      </c>
      <c r="AF531" s="49"/>
      <c r="AG531" s="49">
        <v>0</v>
      </c>
      <c r="AH531" s="49"/>
      <c r="AI531" s="49">
        <f t="shared" si="24"/>
        <v>42762.91</v>
      </c>
      <c r="AK531" s="6" t="str">
        <f>'Gen Rev'!A531</f>
        <v>Rushville</v>
      </c>
      <c r="AL531" s="6" t="str">
        <f t="shared" si="22"/>
        <v>Rushville</v>
      </c>
      <c r="AM531" s="6" t="b">
        <f t="shared" si="23"/>
        <v>1</v>
      </c>
    </row>
    <row r="532" spans="1:39" x14ac:dyDescent="0.2">
      <c r="A532" s="6" t="s">
        <v>415</v>
      </c>
      <c r="C532" s="6" t="s">
        <v>414</v>
      </c>
      <c r="E532" s="49">
        <v>143676.54</v>
      </c>
      <c r="F532" s="49"/>
      <c r="G532" s="49">
        <v>237602.13</v>
      </c>
      <c r="H532" s="49"/>
      <c r="I532" s="49">
        <v>196322.66</v>
      </c>
      <c r="J532" s="49"/>
      <c r="K532" s="49">
        <v>0</v>
      </c>
      <c r="L532" s="49"/>
      <c r="M532" s="49">
        <v>0</v>
      </c>
      <c r="N532" s="49"/>
      <c r="O532" s="49">
        <v>44265.58</v>
      </c>
      <c r="P532" s="49"/>
      <c r="Q532" s="49">
        <v>82.5</v>
      </c>
      <c r="R532" s="49"/>
      <c r="S532" s="49">
        <v>390851.52</v>
      </c>
      <c r="T532" s="49"/>
      <c r="U532" s="49">
        <v>0</v>
      </c>
      <c r="V532" s="49"/>
      <c r="W532" s="49">
        <v>0</v>
      </c>
      <c r="X532" s="49"/>
      <c r="Y532" s="49">
        <v>10008.58</v>
      </c>
      <c r="Z532" s="49"/>
      <c r="AA532" s="49">
        <v>172451.96</v>
      </c>
      <c r="AB532" s="49"/>
      <c r="AC532" s="49">
        <v>0</v>
      </c>
      <c r="AD532" s="49"/>
      <c r="AE532" s="49">
        <v>0</v>
      </c>
      <c r="AF532" s="49"/>
      <c r="AG532" s="49">
        <v>0</v>
      </c>
      <c r="AH532" s="49"/>
      <c r="AI532" s="49">
        <f t="shared" si="24"/>
        <v>1195261.47</v>
      </c>
      <c r="AK532" s="6" t="str">
        <f>'Gen Rev'!A532</f>
        <v>Russells Point</v>
      </c>
      <c r="AL532" s="6" t="str">
        <f t="shared" si="22"/>
        <v>Russells Point</v>
      </c>
      <c r="AM532" s="6" t="b">
        <f t="shared" si="23"/>
        <v>1</v>
      </c>
    </row>
    <row r="533" spans="1:39" x14ac:dyDescent="0.2">
      <c r="A533" s="6" t="s">
        <v>808</v>
      </c>
      <c r="C533" s="6" t="s">
        <v>265</v>
      </c>
      <c r="E533" s="49">
        <v>70913.429999999993</v>
      </c>
      <c r="F533" s="49"/>
      <c r="G533" s="49">
        <v>0</v>
      </c>
      <c r="H533" s="49"/>
      <c r="I533" s="49">
        <v>61108.08</v>
      </c>
      <c r="J533" s="49"/>
      <c r="K533" s="49">
        <v>0</v>
      </c>
      <c r="L533" s="49"/>
      <c r="M533" s="49">
        <v>63832.83</v>
      </c>
      <c r="N533" s="49"/>
      <c r="O533" s="49">
        <v>57129.11</v>
      </c>
      <c r="P533" s="49"/>
      <c r="Q533" s="49">
        <v>39.57</v>
      </c>
      <c r="R533" s="49"/>
      <c r="S533" s="49">
        <v>4985.07</v>
      </c>
      <c r="T533" s="49"/>
      <c r="U533" s="49">
        <v>0</v>
      </c>
      <c r="V533" s="49"/>
      <c r="W533" s="49">
        <v>0</v>
      </c>
      <c r="X533" s="49"/>
      <c r="Y533" s="49">
        <v>0</v>
      </c>
      <c r="Z533" s="49"/>
      <c r="AA533" s="49">
        <v>0</v>
      </c>
      <c r="AB533" s="49"/>
      <c r="AC533" s="49">
        <v>3000</v>
      </c>
      <c r="AD533" s="49"/>
      <c r="AE533" s="49">
        <v>0</v>
      </c>
      <c r="AF533" s="49"/>
      <c r="AG533" s="49">
        <v>0</v>
      </c>
      <c r="AH533" s="49"/>
      <c r="AI533" s="49">
        <f t="shared" si="24"/>
        <v>261008.09000000003</v>
      </c>
      <c r="AK533" s="6" t="str">
        <f>'Gen Rev'!A533</f>
        <v>Russellville</v>
      </c>
      <c r="AL533" s="6" t="str">
        <f t="shared" si="22"/>
        <v>Russellville</v>
      </c>
      <c r="AM533" s="6" t="b">
        <f t="shared" si="23"/>
        <v>1</v>
      </c>
    </row>
    <row r="534" spans="1:39" x14ac:dyDescent="0.2">
      <c r="A534" s="6" t="s">
        <v>500</v>
      </c>
      <c r="C534" s="6" t="s">
        <v>498</v>
      </c>
      <c r="E534" s="49">
        <v>16507.05</v>
      </c>
      <c r="F534" s="49"/>
      <c r="G534" s="49">
        <v>180107.55</v>
      </c>
      <c r="H534" s="49"/>
      <c r="I534" s="49">
        <v>139165.07999999999</v>
      </c>
      <c r="J534" s="49"/>
      <c r="K534" s="49">
        <v>41048.17</v>
      </c>
      <c r="L534" s="49"/>
      <c r="M534" s="49">
        <v>32939.46</v>
      </c>
      <c r="N534" s="49"/>
      <c r="O534" s="49">
        <v>9559.6200000000008</v>
      </c>
      <c r="P534" s="49"/>
      <c r="Q534" s="49">
        <v>0</v>
      </c>
      <c r="R534" s="49"/>
      <c r="S534" s="49">
        <v>37637.51</v>
      </c>
      <c r="T534" s="49"/>
      <c r="U534" s="49">
        <v>0</v>
      </c>
      <c r="V534" s="49"/>
      <c r="W534" s="49">
        <v>0</v>
      </c>
      <c r="X534" s="49"/>
      <c r="Y534" s="49">
        <v>0</v>
      </c>
      <c r="Z534" s="49"/>
      <c r="AA534" s="49">
        <v>9570.43</v>
      </c>
      <c r="AB534" s="49"/>
      <c r="AC534" s="49">
        <v>0</v>
      </c>
      <c r="AD534" s="49"/>
      <c r="AE534" s="49">
        <v>0</v>
      </c>
      <c r="AF534" s="49"/>
      <c r="AG534" s="49">
        <v>0</v>
      </c>
      <c r="AH534" s="49"/>
      <c r="AI534" s="49">
        <f t="shared" si="24"/>
        <v>466534.86999999994</v>
      </c>
      <c r="AK534" s="6" t="str">
        <f>'Gen Rev'!A534</f>
        <v>Russia</v>
      </c>
      <c r="AL534" s="6" t="str">
        <f t="shared" si="22"/>
        <v>Russia</v>
      </c>
      <c r="AM534" s="6" t="b">
        <f t="shared" si="23"/>
        <v>1</v>
      </c>
    </row>
    <row r="535" spans="1:39" x14ac:dyDescent="0.2">
      <c r="A535" s="6" t="s">
        <v>648</v>
      </c>
      <c r="C535" s="6" t="s">
        <v>431</v>
      </c>
      <c r="E535" s="49">
        <v>16777.25</v>
      </c>
      <c r="F535" s="49"/>
      <c r="G535" s="49">
        <v>0</v>
      </c>
      <c r="H535" s="49"/>
      <c r="I535" s="49">
        <v>28424.82</v>
      </c>
      <c r="J535" s="49"/>
      <c r="K535" s="49">
        <v>0</v>
      </c>
      <c r="L535" s="49"/>
      <c r="M535" s="49">
        <v>5733.5</v>
      </c>
      <c r="N535" s="49"/>
      <c r="O535" s="49">
        <v>6218.1</v>
      </c>
      <c r="P535" s="49"/>
      <c r="Q535" s="49">
        <v>11.63</v>
      </c>
      <c r="R535" s="49"/>
      <c r="S535" s="49">
        <v>52071.22</v>
      </c>
      <c r="T535" s="49"/>
      <c r="U535" s="49">
        <v>0</v>
      </c>
      <c r="V535" s="49"/>
      <c r="W535" s="49">
        <v>0</v>
      </c>
      <c r="X535" s="49"/>
      <c r="Y535" s="49">
        <v>0</v>
      </c>
      <c r="Z535" s="49"/>
      <c r="AA535" s="49">
        <v>25457.01</v>
      </c>
      <c r="AB535" s="49"/>
      <c r="AC535" s="49">
        <v>0</v>
      </c>
      <c r="AD535" s="49"/>
      <c r="AE535" s="49">
        <v>0</v>
      </c>
      <c r="AF535" s="49"/>
      <c r="AG535" s="49">
        <v>6747.64</v>
      </c>
      <c r="AH535" s="49"/>
      <c r="AI535" s="49">
        <f t="shared" si="24"/>
        <v>141441.17000000001</v>
      </c>
      <c r="AK535" s="6" t="str">
        <f>'Gen Rev'!A535</f>
        <v>Rutland</v>
      </c>
      <c r="AL535" s="6" t="str">
        <f t="shared" si="22"/>
        <v>Rutland</v>
      </c>
      <c r="AM535" s="6" t="b">
        <f t="shared" si="23"/>
        <v>1</v>
      </c>
    </row>
    <row r="536" spans="1:39" x14ac:dyDescent="0.2">
      <c r="A536" s="6" t="s">
        <v>282</v>
      </c>
      <c r="C536" s="6" t="s">
        <v>280</v>
      </c>
      <c r="E536" s="49">
        <v>77552.929999999993</v>
      </c>
      <c r="F536" s="49"/>
      <c r="G536" s="49">
        <v>284371.13</v>
      </c>
      <c r="H536" s="49"/>
      <c r="I536" s="49">
        <v>194116.04</v>
      </c>
      <c r="J536" s="49"/>
      <c r="K536" s="49">
        <v>553.61</v>
      </c>
      <c r="L536" s="49"/>
      <c r="M536" s="49">
        <v>1576.8</v>
      </c>
      <c r="N536" s="49"/>
      <c r="O536" s="49">
        <v>27579.7</v>
      </c>
      <c r="P536" s="49"/>
      <c r="Q536" s="49">
        <v>1672.74</v>
      </c>
      <c r="R536" s="49"/>
      <c r="S536" s="49">
        <v>23486.83</v>
      </c>
      <c r="T536" s="49"/>
      <c r="U536" s="49">
        <v>0</v>
      </c>
      <c r="V536" s="49"/>
      <c r="W536" s="49">
        <v>0</v>
      </c>
      <c r="X536" s="49"/>
      <c r="Y536" s="49">
        <v>0</v>
      </c>
      <c r="Z536" s="49"/>
      <c r="AA536" s="49">
        <v>0</v>
      </c>
      <c r="AB536" s="49"/>
      <c r="AC536" s="49">
        <v>0</v>
      </c>
      <c r="AD536" s="49"/>
      <c r="AE536" s="49">
        <v>0</v>
      </c>
      <c r="AF536" s="49"/>
      <c r="AG536" s="49">
        <v>0</v>
      </c>
      <c r="AH536" s="49"/>
      <c r="AI536" s="49">
        <f t="shared" si="24"/>
        <v>610909.77999999991</v>
      </c>
      <c r="AK536" s="6" t="str">
        <f>'Gen Rev'!A536</f>
        <v>Sabina</v>
      </c>
      <c r="AL536" s="6" t="str">
        <f t="shared" si="22"/>
        <v>Sabina</v>
      </c>
      <c r="AM536" s="6" t="b">
        <f t="shared" si="23"/>
        <v>1</v>
      </c>
    </row>
    <row r="537" spans="1:39" x14ac:dyDescent="0.2">
      <c r="A537" s="6" t="s">
        <v>44</v>
      </c>
      <c r="C537" s="6" t="s">
        <v>283</v>
      </c>
      <c r="E537" s="49">
        <v>161415.76999999999</v>
      </c>
      <c r="F537" s="49"/>
      <c r="G537" s="49">
        <v>125249.23</v>
      </c>
      <c r="H537" s="49"/>
      <c r="I537" s="49">
        <v>81077.37</v>
      </c>
      <c r="J537" s="49"/>
      <c r="K537" s="49">
        <v>0</v>
      </c>
      <c r="L537" s="49"/>
      <c r="M537" s="49">
        <v>3152.5</v>
      </c>
      <c r="N537" s="49"/>
      <c r="O537" s="49">
        <v>383.43</v>
      </c>
      <c r="P537" s="49"/>
      <c r="Q537" s="49">
        <v>2.27</v>
      </c>
      <c r="R537" s="49"/>
      <c r="S537" s="49">
        <v>3008.5</v>
      </c>
      <c r="T537" s="49"/>
      <c r="U537" s="49">
        <v>0</v>
      </c>
      <c r="V537" s="49"/>
      <c r="W537" s="49">
        <v>0</v>
      </c>
      <c r="X537" s="49"/>
      <c r="Y537" s="49">
        <v>0</v>
      </c>
      <c r="Z537" s="49"/>
      <c r="AA537" s="49">
        <v>11000</v>
      </c>
      <c r="AB537" s="49"/>
      <c r="AC537" s="49">
        <v>18000</v>
      </c>
      <c r="AD537" s="49"/>
      <c r="AE537" s="49">
        <v>10796.61</v>
      </c>
      <c r="AF537" s="49"/>
      <c r="AG537" s="49">
        <v>0</v>
      </c>
      <c r="AH537" s="49"/>
      <c r="AI537" s="49">
        <f t="shared" si="24"/>
        <v>414085.68</v>
      </c>
      <c r="AK537" s="6" t="str">
        <f>'Gen Rev'!A537</f>
        <v>Salineville</v>
      </c>
      <c r="AL537" s="6" t="str">
        <f t="shared" si="22"/>
        <v>Salineville</v>
      </c>
      <c r="AM537" s="6" t="b">
        <f t="shared" si="23"/>
        <v>1</v>
      </c>
    </row>
    <row r="538" spans="1:39" x14ac:dyDescent="0.2">
      <c r="A538" s="6" t="s">
        <v>785</v>
      </c>
      <c r="C538" s="6" t="s">
        <v>455</v>
      </c>
      <c r="E538" s="49">
        <v>2369</v>
      </c>
      <c r="F538" s="49"/>
      <c r="G538" s="49">
        <v>0</v>
      </c>
      <c r="H538" s="49"/>
      <c r="I538" s="49">
        <v>19392</v>
      </c>
      <c r="J538" s="49"/>
      <c r="K538" s="49">
        <v>0</v>
      </c>
      <c r="L538" s="49"/>
      <c r="M538" s="49">
        <v>0</v>
      </c>
      <c r="N538" s="49"/>
      <c r="O538" s="49">
        <v>220</v>
      </c>
      <c r="P538" s="49"/>
      <c r="Q538" s="49">
        <v>12</v>
      </c>
      <c r="R538" s="49"/>
      <c r="S538" s="49">
        <v>226</v>
      </c>
      <c r="T538" s="49"/>
      <c r="U538" s="49">
        <v>0</v>
      </c>
      <c r="V538" s="49"/>
      <c r="W538" s="49">
        <v>0</v>
      </c>
      <c r="X538" s="49"/>
      <c r="Y538" s="49">
        <v>0</v>
      </c>
      <c r="Z538" s="49"/>
      <c r="AA538" s="49">
        <v>0</v>
      </c>
      <c r="AB538" s="49"/>
      <c r="AC538" s="49">
        <v>0</v>
      </c>
      <c r="AD538" s="49"/>
      <c r="AE538" s="49">
        <v>0</v>
      </c>
      <c r="AF538" s="49"/>
      <c r="AG538" s="49">
        <v>0</v>
      </c>
      <c r="AH538" s="49"/>
      <c r="AI538" s="49">
        <f t="shared" si="24"/>
        <v>22219</v>
      </c>
      <c r="AK538" s="6" t="str">
        <f>'Gen Rev'!A538</f>
        <v>Sarahsville</v>
      </c>
      <c r="AL538" s="6" t="str">
        <f t="shared" si="22"/>
        <v>Sarahsville</v>
      </c>
      <c r="AM538" s="6" t="b">
        <f t="shared" si="23"/>
        <v>1</v>
      </c>
    </row>
    <row r="539" spans="1:39" x14ac:dyDescent="0.2">
      <c r="A539" s="6" t="s">
        <v>25</v>
      </c>
      <c r="C539" s="6" t="s">
        <v>265</v>
      </c>
      <c r="E539" s="49">
        <v>63542.37</v>
      </c>
      <c r="F539" s="49"/>
      <c r="G539" s="49">
        <v>146203.45000000001</v>
      </c>
      <c r="H539" s="49"/>
      <c r="I539" s="49">
        <v>42230.31</v>
      </c>
      <c r="J539" s="49"/>
      <c r="K539" s="49">
        <v>0</v>
      </c>
      <c r="L539" s="49"/>
      <c r="M539" s="49">
        <v>73636.59</v>
      </c>
      <c r="N539" s="49"/>
      <c r="O539" s="49">
        <v>49977.02</v>
      </c>
      <c r="P539" s="49"/>
      <c r="Q539" s="49">
        <v>0</v>
      </c>
      <c r="R539" s="49"/>
      <c r="S539" s="49">
        <v>66621.61</v>
      </c>
      <c r="T539" s="49"/>
      <c r="U539" s="49">
        <v>0</v>
      </c>
      <c r="V539" s="49"/>
      <c r="W539" s="49">
        <v>0</v>
      </c>
      <c r="X539" s="49"/>
      <c r="Y539" s="49">
        <v>0</v>
      </c>
      <c r="Z539" s="49"/>
      <c r="AA539" s="49">
        <v>363500</v>
      </c>
      <c r="AB539" s="49"/>
      <c r="AC539" s="49">
        <v>0</v>
      </c>
      <c r="AD539" s="49"/>
      <c r="AE539" s="49">
        <v>0</v>
      </c>
      <c r="AF539" s="49"/>
      <c r="AG539" s="49">
        <v>0</v>
      </c>
      <c r="AH539" s="49"/>
      <c r="AI539" s="49">
        <f t="shared" si="24"/>
        <v>805711.35</v>
      </c>
      <c r="AK539" s="6" t="str">
        <f>'Gen Rev'!A539</f>
        <v>Sardinia</v>
      </c>
      <c r="AL539" s="6" t="str">
        <f t="shared" si="22"/>
        <v>Sardinia</v>
      </c>
      <c r="AM539" s="6" t="b">
        <f t="shared" si="23"/>
        <v>1</v>
      </c>
    </row>
    <row r="540" spans="1:39" x14ac:dyDescent="0.2">
      <c r="A540" s="6" t="s">
        <v>626</v>
      </c>
      <c r="C540" s="6" t="s">
        <v>619</v>
      </c>
      <c r="E540" s="49">
        <v>6461</v>
      </c>
      <c r="F540" s="49"/>
      <c r="G540" s="49">
        <v>0</v>
      </c>
      <c r="H540" s="49"/>
      <c r="I540" s="49">
        <v>33049</v>
      </c>
      <c r="J540" s="49"/>
      <c r="K540" s="49">
        <v>0</v>
      </c>
      <c r="L540" s="49"/>
      <c r="M540" s="49">
        <v>0</v>
      </c>
      <c r="N540" s="49"/>
      <c r="O540" s="49">
        <v>120</v>
      </c>
      <c r="P540" s="49"/>
      <c r="Q540" s="49">
        <v>438</v>
      </c>
      <c r="R540" s="49"/>
      <c r="S540" s="49">
        <v>311</v>
      </c>
      <c r="T540" s="49"/>
      <c r="U540" s="49">
        <v>0</v>
      </c>
      <c r="V540" s="49"/>
      <c r="W540" s="49">
        <v>0</v>
      </c>
      <c r="X540" s="49"/>
      <c r="Y540" s="49">
        <v>0</v>
      </c>
      <c r="Z540" s="49"/>
      <c r="AA540" s="49">
        <v>0</v>
      </c>
      <c r="AB540" s="49"/>
      <c r="AC540" s="49">
        <v>0</v>
      </c>
      <c r="AD540" s="49"/>
      <c r="AE540" s="49">
        <v>0</v>
      </c>
      <c r="AF540" s="49"/>
      <c r="AG540" s="49">
        <v>0</v>
      </c>
      <c r="AH540" s="49"/>
      <c r="AI540" s="49">
        <f t="shared" si="24"/>
        <v>40379</v>
      </c>
      <c r="AK540" s="6" t="str">
        <f>'Gen Rev'!A540</f>
        <v>Savannah</v>
      </c>
      <c r="AL540" s="6" t="str">
        <f t="shared" si="22"/>
        <v>Savannah</v>
      </c>
      <c r="AM540" s="6" t="b">
        <f t="shared" si="23"/>
        <v>1</v>
      </c>
    </row>
    <row r="541" spans="1:39" x14ac:dyDescent="0.2">
      <c r="A541" s="6" t="s">
        <v>376</v>
      </c>
      <c r="C541" s="6" t="s">
        <v>373</v>
      </c>
      <c r="E541" s="49">
        <v>51441</v>
      </c>
      <c r="F541" s="49"/>
      <c r="G541" s="49">
        <v>69308</v>
      </c>
      <c r="H541" s="49"/>
      <c r="I541" s="49">
        <v>58621</v>
      </c>
      <c r="J541" s="49"/>
      <c r="K541" s="49">
        <v>0</v>
      </c>
      <c r="L541" s="49"/>
      <c r="M541" s="49">
        <v>40</v>
      </c>
      <c r="N541" s="49"/>
      <c r="O541" s="49">
        <v>118528</v>
      </c>
      <c r="P541" s="49"/>
      <c r="Q541" s="49">
        <v>291</v>
      </c>
      <c r="R541" s="49"/>
      <c r="S541" s="49">
        <v>21750</v>
      </c>
      <c r="T541" s="49"/>
      <c r="U541" s="49">
        <v>0</v>
      </c>
      <c r="V541" s="49"/>
      <c r="W541" s="49">
        <v>0</v>
      </c>
      <c r="X541" s="49"/>
      <c r="Y541" s="49">
        <v>0</v>
      </c>
      <c r="Z541" s="49"/>
      <c r="AA541" s="49">
        <v>3200</v>
      </c>
      <c r="AB541" s="49"/>
      <c r="AC541" s="49">
        <v>0</v>
      </c>
      <c r="AD541" s="49"/>
      <c r="AE541" s="49">
        <v>8434</v>
      </c>
      <c r="AF541" s="49"/>
      <c r="AG541" s="49">
        <v>0</v>
      </c>
      <c r="AH541" s="49"/>
      <c r="AI541" s="49">
        <f t="shared" si="24"/>
        <v>331613</v>
      </c>
      <c r="AK541" s="6" t="str">
        <f>'Gen Rev'!A541</f>
        <v>Scio</v>
      </c>
      <c r="AL541" s="6" t="str">
        <f t="shared" si="22"/>
        <v>Scio</v>
      </c>
      <c r="AM541" s="6" t="b">
        <f t="shared" si="23"/>
        <v>1</v>
      </c>
    </row>
    <row r="542" spans="1:39" x14ac:dyDescent="0.2"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</row>
    <row r="543" spans="1:39" ht="12.75" x14ac:dyDescent="0.2"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88" t="s">
        <v>733</v>
      </c>
    </row>
    <row r="544" spans="1:39" x14ac:dyDescent="0.2"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</row>
    <row r="545" spans="1:39" x14ac:dyDescent="0.2">
      <c r="A545" s="6" t="s">
        <v>534</v>
      </c>
      <c r="C545" s="6" t="s">
        <v>532</v>
      </c>
      <c r="E545" s="52">
        <v>17091.79</v>
      </c>
      <c r="F545" s="52"/>
      <c r="G545" s="52">
        <v>0</v>
      </c>
      <c r="H545" s="52"/>
      <c r="I545" s="52">
        <v>37160.660000000003</v>
      </c>
      <c r="J545" s="52"/>
      <c r="K545" s="52">
        <v>0</v>
      </c>
      <c r="L545" s="52"/>
      <c r="M545" s="52">
        <v>49734.55</v>
      </c>
      <c r="N545" s="52"/>
      <c r="O545" s="52">
        <v>0</v>
      </c>
      <c r="P545" s="52"/>
      <c r="Q545" s="52">
        <v>81.849999999999994</v>
      </c>
      <c r="R545" s="52"/>
      <c r="S545" s="52">
        <v>18037.09</v>
      </c>
      <c r="T545" s="52"/>
      <c r="U545" s="52">
        <v>0</v>
      </c>
      <c r="V545" s="52"/>
      <c r="W545" s="52">
        <v>0</v>
      </c>
      <c r="X545" s="52"/>
      <c r="Y545" s="52">
        <v>0</v>
      </c>
      <c r="Z545" s="52"/>
      <c r="AA545" s="52">
        <v>7195.14</v>
      </c>
      <c r="AB545" s="52"/>
      <c r="AC545" s="52">
        <v>0</v>
      </c>
      <c r="AD545" s="52"/>
      <c r="AE545" s="52">
        <v>0</v>
      </c>
      <c r="AF545" s="52"/>
      <c r="AG545" s="52">
        <v>0</v>
      </c>
      <c r="AH545" s="49"/>
      <c r="AI545" s="52">
        <f t="shared" si="24"/>
        <v>129301.08</v>
      </c>
      <c r="AK545" s="6" t="str">
        <f>'Gen Rev'!A545</f>
        <v>Scott</v>
      </c>
      <c r="AL545" s="6" t="str">
        <f t="shared" ref="AL545:AL607" si="25">A545</f>
        <v>Scott</v>
      </c>
      <c r="AM545" s="6" t="b">
        <f t="shared" ref="AM545:AM607" si="26">AK545=AL545</f>
        <v>1</v>
      </c>
    </row>
    <row r="546" spans="1:39" x14ac:dyDescent="0.2">
      <c r="A546" s="6" t="s">
        <v>627</v>
      </c>
      <c r="C546" s="6" t="s">
        <v>616</v>
      </c>
      <c r="E546" s="49">
        <v>92083</v>
      </c>
      <c r="F546" s="49"/>
      <c r="G546" s="49">
        <v>0</v>
      </c>
      <c r="H546" s="49"/>
      <c r="I546" s="49">
        <v>44168</v>
      </c>
      <c r="J546" s="49"/>
      <c r="K546" s="49">
        <v>0</v>
      </c>
      <c r="L546" s="49"/>
      <c r="M546" s="49">
        <v>0</v>
      </c>
      <c r="N546" s="49"/>
      <c r="O546" s="49">
        <v>40526</v>
      </c>
      <c r="P546" s="49"/>
      <c r="Q546" s="49">
        <v>0</v>
      </c>
      <c r="R546" s="49"/>
      <c r="S546" s="49">
        <v>37452</v>
      </c>
      <c r="T546" s="49"/>
      <c r="U546" s="49">
        <v>0</v>
      </c>
      <c r="V546" s="49"/>
      <c r="W546" s="49">
        <v>0</v>
      </c>
      <c r="X546" s="49"/>
      <c r="Y546" s="49">
        <v>0</v>
      </c>
      <c r="Z546" s="49"/>
      <c r="AA546" s="49">
        <v>0</v>
      </c>
      <c r="AB546" s="49"/>
      <c r="AC546" s="49">
        <v>0</v>
      </c>
      <c r="AD546" s="49"/>
      <c r="AE546" s="49">
        <v>0</v>
      </c>
      <c r="AF546" s="49"/>
      <c r="AG546" s="49">
        <v>0</v>
      </c>
      <c r="AH546" s="49"/>
      <c r="AI546" s="49">
        <f t="shared" si="24"/>
        <v>214229</v>
      </c>
      <c r="AK546" s="6" t="str">
        <f>'Gen Rev'!A546</f>
        <v>Seaman</v>
      </c>
      <c r="AL546" s="6" t="str">
        <f t="shared" si="25"/>
        <v>Seaman</v>
      </c>
      <c r="AM546" s="6" t="b">
        <f t="shared" si="26"/>
        <v>1</v>
      </c>
    </row>
    <row r="547" spans="1:39" x14ac:dyDescent="0.2">
      <c r="A547" s="6" t="s">
        <v>428</v>
      </c>
      <c r="C547" s="6" t="s">
        <v>429</v>
      </c>
      <c r="E547" s="49">
        <v>1980944</v>
      </c>
      <c r="F547" s="49"/>
      <c r="G547" s="49">
        <v>0</v>
      </c>
      <c r="H547" s="49"/>
      <c r="I547" s="49">
        <f>608015+46078</f>
        <v>654093</v>
      </c>
      <c r="J547" s="49"/>
      <c r="K547" s="49">
        <v>46</v>
      </c>
      <c r="L547" s="49"/>
      <c r="M547" s="49">
        <v>116339</v>
      </c>
      <c r="N547" s="49"/>
      <c r="O547" s="49">
        <v>70514</v>
      </c>
      <c r="P547" s="49"/>
      <c r="Q547" s="49">
        <v>45</v>
      </c>
      <c r="R547" s="49"/>
      <c r="S547" s="49">
        <v>69837</v>
      </c>
      <c r="T547" s="49"/>
      <c r="U547" s="49">
        <v>0</v>
      </c>
      <c r="V547" s="49"/>
      <c r="W547" s="49">
        <v>0</v>
      </c>
      <c r="X547" s="49"/>
      <c r="Y547" s="49">
        <v>0</v>
      </c>
      <c r="Z547" s="49"/>
      <c r="AA547" s="49">
        <v>0</v>
      </c>
      <c r="AB547" s="49"/>
      <c r="AC547" s="49">
        <v>0</v>
      </c>
      <c r="AD547" s="49"/>
      <c r="AE547" s="49">
        <v>485768</v>
      </c>
      <c r="AF547" s="49"/>
      <c r="AG547" s="49">
        <v>0</v>
      </c>
      <c r="AH547" s="49"/>
      <c r="AI547" s="49">
        <f t="shared" ref="AI547:AI612" si="27">SUM(E547:AG547)</f>
        <v>3377586</v>
      </c>
      <c r="AK547" s="6" t="str">
        <f>'Gen Rev'!A547</f>
        <v>Sebring</v>
      </c>
      <c r="AL547" s="6" t="str">
        <f t="shared" si="25"/>
        <v>Sebring</v>
      </c>
      <c r="AM547" s="6" t="b">
        <f t="shared" si="26"/>
        <v>1</v>
      </c>
    </row>
    <row r="548" spans="1:39" x14ac:dyDescent="0.2">
      <c r="A548" s="6" t="s">
        <v>85</v>
      </c>
      <c r="C548" s="6" t="s">
        <v>349</v>
      </c>
      <c r="E548" s="49">
        <v>34474.370000000003</v>
      </c>
      <c r="F548" s="49"/>
      <c r="G548" s="49">
        <v>0</v>
      </c>
      <c r="H548" s="49"/>
      <c r="I548" s="49">
        <v>46039.06</v>
      </c>
      <c r="J548" s="49"/>
      <c r="K548" s="49">
        <v>24726.83</v>
      </c>
      <c r="L548" s="49"/>
      <c r="M548" s="49">
        <v>26800</v>
      </c>
      <c r="N548" s="49"/>
      <c r="O548" s="49">
        <v>11760</v>
      </c>
      <c r="P548" s="49"/>
      <c r="Q548" s="49">
        <v>1081.95</v>
      </c>
      <c r="R548" s="49"/>
      <c r="S548" s="49">
        <v>3892.37</v>
      </c>
      <c r="T548" s="49"/>
      <c r="U548" s="49">
        <v>0</v>
      </c>
      <c r="V548" s="49"/>
      <c r="W548" s="49">
        <v>0</v>
      </c>
      <c r="X548" s="49"/>
      <c r="Y548" s="49">
        <v>0</v>
      </c>
      <c r="Z548" s="49"/>
      <c r="AA548" s="49">
        <v>604</v>
      </c>
      <c r="AB548" s="49"/>
      <c r="AC548" s="49">
        <v>0</v>
      </c>
      <c r="AD548" s="49"/>
      <c r="AE548" s="49">
        <v>0</v>
      </c>
      <c r="AF548" s="49"/>
      <c r="AG548" s="49">
        <v>0</v>
      </c>
      <c r="AH548" s="49"/>
      <c r="AI548" s="49">
        <f t="shared" si="27"/>
        <v>149378.58000000002</v>
      </c>
      <c r="AK548" s="6" t="str">
        <f>'Gen Rev'!A548</f>
        <v>Senecaville</v>
      </c>
      <c r="AL548" s="6" t="str">
        <f t="shared" si="25"/>
        <v>Senecaville</v>
      </c>
      <c r="AM548" s="6" t="b">
        <f t="shared" si="26"/>
        <v>1</v>
      </c>
    </row>
    <row r="549" spans="1:39" x14ac:dyDescent="0.2">
      <c r="A549" s="6" t="s">
        <v>26</v>
      </c>
      <c r="C549" s="6" t="s">
        <v>480</v>
      </c>
      <c r="E549" s="49">
        <v>57511.09</v>
      </c>
      <c r="F549" s="49"/>
      <c r="G549" s="49">
        <v>0</v>
      </c>
      <c r="H549" s="49"/>
      <c r="I549" s="49">
        <v>71347.199999999997</v>
      </c>
      <c r="J549" s="49"/>
      <c r="K549" s="49">
        <v>0</v>
      </c>
      <c r="L549" s="49"/>
      <c r="M549" s="49">
        <v>33898.81</v>
      </c>
      <c r="N549" s="49"/>
      <c r="O549" s="49">
        <v>41934.879999999997</v>
      </c>
      <c r="P549" s="49"/>
      <c r="Q549" s="49">
        <v>278.19</v>
      </c>
      <c r="R549" s="49"/>
      <c r="S549" s="49">
        <v>4134.93</v>
      </c>
      <c r="T549" s="49"/>
      <c r="U549" s="49">
        <v>0</v>
      </c>
      <c r="V549" s="49"/>
      <c r="W549" s="49">
        <v>0</v>
      </c>
      <c r="X549" s="49"/>
      <c r="Y549" s="49">
        <v>0</v>
      </c>
      <c r="Z549" s="49"/>
      <c r="AA549" s="49">
        <v>0</v>
      </c>
      <c r="AB549" s="49"/>
      <c r="AC549" s="49">
        <v>0</v>
      </c>
      <c r="AD549" s="49"/>
      <c r="AE549" s="49">
        <v>2276.11</v>
      </c>
      <c r="AF549" s="49"/>
      <c r="AG549" s="49">
        <v>1.52</v>
      </c>
      <c r="AH549" s="49"/>
      <c r="AI549" s="49">
        <f t="shared" si="27"/>
        <v>211382.72999999995</v>
      </c>
      <c r="AK549" s="6" t="str">
        <f>'Gen Rev'!A549</f>
        <v>Seven Mile</v>
      </c>
      <c r="AL549" s="6" t="str">
        <f t="shared" si="25"/>
        <v>Seven Mile</v>
      </c>
      <c r="AM549" s="6" t="b">
        <f t="shared" si="26"/>
        <v>1</v>
      </c>
    </row>
    <row r="550" spans="1:39" x14ac:dyDescent="0.2">
      <c r="A550" s="6" t="s">
        <v>144</v>
      </c>
      <c r="C550" s="6" t="s">
        <v>823</v>
      </c>
      <c r="E550" s="49">
        <v>328713.96999999997</v>
      </c>
      <c r="F550" s="49"/>
      <c r="G550" s="49">
        <v>1065688.22</v>
      </c>
      <c r="H550" s="49"/>
      <c r="I550" s="49">
        <v>509638.8</v>
      </c>
      <c r="J550" s="49"/>
      <c r="K550" s="49">
        <v>358859.86</v>
      </c>
      <c r="L550" s="49"/>
      <c r="M550" s="49">
        <v>0</v>
      </c>
      <c r="N550" s="49"/>
      <c r="O550" s="49">
        <v>4408</v>
      </c>
      <c r="P550" s="49"/>
      <c r="Q550" s="49">
        <v>9707.3799999999992</v>
      </c>
      <c r="R550" s="49"/>
      <c r="S550" s="49">
        <v>340339.4</v>
      </c>
      <c r="T550" s="49"/>
      <c r="U550" s="49">
        <v>0</v>
      </c>
      <c r="V550" s="49"/>
      <c r="W550" s="49">
        <v>0</v>
      </c>
      <c r="X550" s="49"/>
      <c r="Y550" s="49">
        <v>0</v>
      </c>
      <c r="Z550" s="49"/>
      <c r="AA550" s="49">
        <v>986329.44</v>
      </c>
      <c r="AB550" s="49"/>
      <c r="AC550" s="49">
        <v>0</v>
      </c>
      <c r="AD550" s="49"/>
      <c r="AE550" s="49">
        <v>0</v>
      </c>
      <c r="AF550" s="49"/>
      <c r="AG550" s="49">
        <v>0</v>
      </c>
      <c r="AH550" s="49"/>
      <c r="AI550" s="49">
        <f t="shared" si="27"/>
        <v>3603685.07</v>
      </c>
      <c r="AK550" s="6" t="str">
        <f>'Gen Rev'!A550</f>
        <v>Seville</v>
      </c>
      <c r="AL550" s="6" t="str">
        <f t="shared" si="25"/>
        <v>Seville</v>
      </c>
      <c r="AM550" s="6" t="b">
        <f t="shared" si="26"/>
        <v>1</v>
      </c>
    </row>
    <row r="551" spans="1:39" x14ac:dyDescent="0.2">
      <c r="A551" s="6" t="s">
        <v>20</v>
      </c>
      <c r="C551" s="6" t="s">
        <v>261</v>
      </c>
      <c r="E551" s="49">
        <v>418105.82</v>
      </c>
      <c r="F551" s="49"/>
      <c r="G551" s="49">
        <v>0</v>
      </c>
      <c r="H551" s="49"/>
      <c r="I551" s="49">
        <v>527651.78</v>
      </c>
      <c r="J551" s="49"/>
      <c r="K551" s="49">
        <v>0</v>
      </c>
      <c r="L551" s="49"/>
      <c r="M551" s="49">
        <v>47649.73</v>
      </c>
      <c r="N551" s="49"/>
      <c r="O551" s="49">
        <v>7574.88</v>
      </c>
      <c r="P551" s="49"/>
      <c r="Q551" s="49">
        <v>900.75</v>
      </c>
      <c r="R551" s="49"/>
      <c r="S551" s="49">
        <v>55198.38</v>
      </c>
      <c r="T551" s="49"/>
      <c r="U551" s="49">
        <v>0</v>
      </c>
      <c r="V551" s="49"/>
      <c r="W551" s="49">
        <v>0</v>
      </c>
      <c r="X551" s="49"/>
      <c r="Y551" s="49">
        <v>0</v>
      </c>
      <c r="Z551" s="49"/>
      <c r="AA551" s="49">
        <v>0</v>
      </c>
      <c r="AB551" s="49"/>
      <c r="AC551" s="49">
        <v>0</v>
      </c>
      <c r="AD551" s="49"/>
      <c r="AE551" s="49">
        <v>3280</v>
      </c>
      <c r="AF551" s="49"/>
      <c r="AG551" s="49">
        <v>0</v>
      </c>
      <c r="AH551" s="49"/>
      <c r="AI551" s="49">
        <f t="shared" si="27"/>
        <v>1060361.3400000001</v>
      </c>
      <c r="AK551" s="6" t="str">
        <f>'Gen Rev'!A551</f>
        <v>Shadyside</v>
      </c>
      <c r="AL551" s="6" t="str">
        <f t="shared" si="25"/>
        <v>Shadyside</v>
      </c>
      <c r="AM551" s="6" t="b">
        <f t="shared" si="26"/>
        <v>1</v>
      </c>
    </row>
    <row r="552" spans="1:39" x14ac:dyDescent="0.2">
      <c r="A552" s="6" t="s">
        <v>173</v>
      </c>
      <c r="C552" s="6" t="s">
        <v>464</v>
      </c>
      <c r="E552" s="49">
        <v>87128.51</v>
      </c>
      <c r="F552" s="49"/>
      <c r="G552" s="49">
        <v>0</v>
      </c>
      <c r="H552" s="49"/>
      <c r="I552" s="49">
        <v>45321.47</v>
      </c>
      <c r="J552" s="49"/>
      <c r="K552" s="49">
        <v>0</v>
      </c>
      <c r="L552" s="49"/>
      <c r="M552" s="49">
        <v>11188.61</v>
      </c>
      <c r="N552" s="49"/>
      <c r="O552" s="49">
        <v>15</v>
      </c>
      <c r="P552" s="49"/>
      <c r="Q552" s="49">
        <v>253.18</v>
      </c>
      <c r="R552" s="49"/>
      <c r="S552" s="49">
        <v>7205.74</v>
      </c>
      <c r="T552" s="49"/>
      <c r="U552" s="49">
        <v>0</v>
      </c>
      <c r="V552" s="49"/>
      <c r="W552" s="49">
        <v>0</v>
      </c>
      <c r="X552" s="49"/>
      <c r="Y552" s="49">
        <v>0</v>
      </c>
      <c r="Z552" s="49"/>
      <c r="AA552" s="49">
        <v>0</v>
      </c>
      <c r="AB552" s="49"/>
      <c r="AC552" s="49">
        <v>0</v>
      </c>
      <c r="AD552" s="49"/>
      <c r="AE552" s="49">
        <v>40058.28</v>
      </c>
      <c r="AF552" s="49"/>
      <c r="AG552" s="49">
        <v>0</v>
      </c>
      <c r="AH552" s="49"/>
      <c r="AI552" s="49">
        <f t="shared" si="27"/>
        <v>191170.78999999995</v>
      </c>
      <c r="AK552" s="6" t="str">
        <f>'Gen Rev'!A552</f>
        <v>Shawnee</v>
      </c>
      <c r="AL552" s="6" t="str">
        <f t="shared" si="25"/>
        <v>Shawnee</v>
      </c>
      <c r="AM552" s="6" t="b">
        <f t="shared" si="26"/>
        <v>1</v>
      </c>
    </row>
    <row r="553" spans="1:39" x14ac:dyDescent="0.2">
      <c r="A553" s="6" t="s">
        <v>322</v>
      </c>
      <c r="C553" s="6" t="s">
        <v>320</v>
      </c>
      <c r="E553" s="49">
        <v>307654.71999999997</v>
      </c>
      <c r="F553" s="49"/>
      <c r="G553" s="49">
        <v>415273.2</v>
      </c>
      <c r="H553" s="49"/>
      <c r="I553" s="49">
        <v>90432.24</v>
      </c>
      <c r="J553" s="49"/>
      <c r="K553" s="49">
        <v>0</v>
      </c>
      <c r="L553" s="49"/>
      <c r="M553" s="49">
        <v>0</v>
      </c>
      <c r="N553" s="49"/>
      <c r="O553" s="49">
        <v>89369.1</v>
      </c>
      <c r="P553" s="49"/>
      <c r="Q553" s="49">
        <v>325.20999999999998</v>
      </c>
      <c r="R553" s="49"/>
      <c r="S553" s="49">
        <v>7349.04</v>
      </c>
      <c r="T553" s="49"/>
      <c r="U553" s="49">
        <v>0</v>
      </c>
      <c r="V553" s="49"/>
      <c r="W553" s="49">
        <v>0</v>
      </c>
      <c r="X553" s="49"/>
      <c r="Y553" s="49">
        <v>0</v>
      </c>
      <c r="Z553" s="49"/>
      <c r="AA553" s="49">
        <v>0</v>
      </c>
      <c r="AB553" s="49"/>
      <c r="AC553" s="49">
        <v>0</v>
      </c>
      <c r="AD553" s="49"/>
      <c r="AE553" s="49">
        <v>0</v>
      </c>
      <c r="AF553" s="49"/>
      <c r="AG553" s="49">
        <v>0</v>
      </c>
      <c r="AH553" s="49"/>
      <c r="AI553" s="49">
        <f t="shared" si="27"/>
        <v>910403.50999999989</v>
      </c>
      <c r="AK553" s="6" t="str">
        <f>'Gen Rev'!A553</f>
        <v>Shawnee Hills</v>
      </c>
      <c r="AL553" s="6" t="str">
        <f t="shared" si="25"/>
        <v>Shawnee Hills</v>
      </c>
      <c r="AM553" s="6" t="b">
        <f t="shared" si="26"/>
        <v>1</v>
      </c>
    </row>
    <row r="554" spans="1:39" x14ac:dyDescent="0.2">
      <c r="A554" s="6" t="s">
        <v>420</v>
      </c>
      <c r="C554" s="6" t="s">
        <v>419</v>
      </c>
      <c r="E554" s="49">
        <f>750342+162224</f>
        <v>912566</v>
      </c>
      <c r="F554" s="49"/>
      <c r="G554" s="49">
        <v>3522977</v>
      </c>
      <c r="H554" s="49"/>
      <c r="I554" s="49">
        <v>827602</v>
      </c>
      <c r="J554" s="49"/>
      <c r="K554" s="49">
        <v>163691</v>
      </c>
      <c r="L554" s="49"/>
      <c r="M554" s="49">
        <v>202140</v>
      </c>
      <c r="N554" s="49"/>
      <c r="O554" s="49">
        <v>545884</v>
      </c>
      <c r="P554" s="49"/>
      <c r="Q554" s="49">
        <v>558</v>
      </c>
      <c r="R554" s="49"/>
      <c r="S554" s="49">
        <v>107638</v>
      </c>
      <c r="T554" s="49"/>
      <c r="U554" s="49">
        <v>0</v>
      </c>
      <c r="V554" s="49"/>
      <c r="W554" s="49">
        <v>775000</v>
      </c>
      <c r="X554" s="49"/>
      <c r="Y554" s="49">
        <v>0</v>
      </c>
      <c r="Z554" s="49"/>
      <c r="AA554" s="49">
        <v>254819</v>
      </c>
      <c r="AB554" s="49"/>
      <c r="AC554" s="49">
        <v>0</v>
      </c>
      <c r="AD554" s="49"/>
      <c r="AE554" s="49">
        <v>0</v>
      </c>
      <c r="AF554" s="49"/>
      <c r="AG554" s="49">
        <v>0</v>
      </c>
      <c r="AH554" s="49"/>
      <c r="AI554" s="49">
        <f t="shared" si="27"/>
        <v>7312875</v>
      </c>
      <c r="AK554" s="6" t="str">
        <f>'Gen Rev'!A554</f>
        <v>Sheffield</v>
      </c>
      <c r="AL554" s="6" t="str">
        <f t="shared" si="25"/>
        <v>Sheffield</v>
      </c>
      <c r="AM554" s="6" t="b">
        <f t="shared" si="26"/>
        <v>1</v>
      </c>
    </row>
    <row r="555" spans="1:39" x14ac:dyDescent="0.2">
      <c r="A555" s="6" t="s">
        <v>30</v>
      </c>
      <c r="C555" s="6" t="s">
        <v>57</v>
      </c>
      <c r="E555" s="49">
        <v>8334.07</v>
      </c>
      <c r="F555" s="49"/>
      <c r="G555" s="49">
        <v>21775.48</v>
      </c>
      <c r="H555" s="49"/>
      <c r="I555" s="49">
        <v>32875.730000000003</v>
      </c>
      <c r="J555" s="49"/>
      <c r="K555" s="49">
        <v>0</v>
      </c>
      <c r="L555" s="49"/>
      <c r="M555" s="49">
        <v>12612.88</v>
      </c>
      <c r="N555" s="49"/>
      <c r="O555" s="49">
        <v>753.23</v>
      </c>
      <c r="P555" s="49"/>
      <c r="Q555" s="49">
        <v>20.64</v>
      </c>
      <c r="R555" s="49"/>
      <c r="S555" s="49">
        <v>6825.7</v>
      </c>
      <c r="T555" s="49"/>
      <c r="U555" s="49">
        <v>0</v>
      </c>
      <c r="V555" s="49"/>
      <c r="W555" s="49">
        <v>0</v>
      </c>
      <c r="X555" s="49"/>
      <c r="Y555" s="49">
        <v>5530</v>
      </c>
      <c r="Z555" s="49"/>
      <c r="AA555" s="49">
        <v>0</v>
      </c>
      <c r="AB555" s="49"/>
      <c r="AC555" s="49">
        <v>0</v>
      </c>
      <c r="AD555" s="49"/>
      <c r="AE555" s="49">
        <v>532.95000000000005</v>
      </c>
      <c r="AF555" s="49"/>
      <c r="AG555" s="49">
        <v>424.34</v>
      </c>
      <c r="AH555" s="49"/>
      <c r="AI555" s="49">
        <f t="shared" si="27"/>
        <v>89685.01999999999</v>
      </c>
      <c r="AK555" s="6" t="str">
        <f>'Gen Rev'!A555</f>
        <v>Sherrodsville</v>
      </c>
      <c r="AL555" s="6" t="str">
        <f t="shared" si="25"/>
        <v>Sherrodsville</v>
      </c>
      <c r="AM555" s="6" t="b">
        <f t="shared" si="26"/>
        <v>1</v>
      </c>
    </row>
    <row r="556" spans="1:39" x14ac:dyDescent="0.2">
      <c r="A556" s="6" t="s">
        <v>51</v>
      </c>
      <c r="C556" s="6" t="s">
        <v>319</v>
      </c>
      <c r="E556" s="49">
        <v>47479.63</v>
      </c>
      <c r="F556" s="49"/>
      <c r="G556" s="49">
        <v>71495.62</v>
      </c>
      <c r="H556" s="49"/>
      <c r="I556" s="49">
        <v>87428.04</v>
      </c>
      <c r="J556" s="49"/>
      <c r="K556" s="49">
        <v>0</v>
      </c>
      <c r="L556" s="49"/>
      <c r="M556" s="49">
        <v>77742.53</v>
      </c>
      <c r="N556" s="49"/>
      <c r="O556" s="49">
        <v>4075.27</v>
      </c>
      <c r="P556" s="49"/>
      <c r="Q556" s="49">
        <v>337.67</v>
      </c>
      <c r="R556" s="49"/>
      <c r="S556" s="49">
        <v>19363.62</v>
      </c>
      <c r="T556" s="49"/>
      <c r="U556" s="49">
        <v>0</v>
      </c>
      <c r="V556" s="49"/>
      <c r="W556" s="49">
        <v>0</v>
      </c>
      <c r="X556" s="49"/>
      <c r="Y556" s="49">
        <v>0</v>
      </c>
      <c r="Z556" s="49"/>
      <c r="AA556" s="49">
        <v>26919.86</v>
      </c>
      <c r="AB556" s="49"/>
      <c r="AC556" s="49">
        <v>0</v>
      </c>
      <c r="AD556" s="49"/>
      <c r="AE556" s="49">
        <v>31</v>
      </c>
      <c r="AF556" s="49"/>
      <c r="AG556" s="49">
        <v>0</v>
      </c>
      <c r="AH556" s="49"/>
      <c r="AI556" s="49">
        <f t="shared" si="27"/>
        <v>334873.23999999993</v>
      </c>
      <c r="AK556" s="6" t="str">
        <f>'Gen Rev'!A556</f>
        <v>Sherwood</v>
      </c>
      <c r="AL556" s="6" t="str">
        <f t="shared" si="25"/>
        <v>Sherwood</v>
      </c>
      <c r="AM556" s="6" t="b">
        <f t="shared" si="26"/>
        <v>1</v>
      </c>
    </row>
    <row r="557" spans="1:39" x14ac:dyDescent="0.2">
      <c r="A557" s="6" t="s">
        <v>483</v>
      </c>
      <c r="C557" s="6" t="s">
        <v>481</v>
      </c>
      <c r="E557" s="49">
        <v>29683</v>
      </c>
      <c r="F557" s="49"/>
      <c r="G557" s="49">
        <v>0</v>
      </c>
      <c r="H557" s="49"/>
      <c r="I557" s="49">
        <v>15109</v>
      </c>
      <c r="J557" s="49"/>
      <c r="K557" s="49">
        <v>0</v>
      </c>
      <c r="L557" s="49"/>
      <c r="M557" s="49">
        <v>0</v>
      </c>
      <c r="N557" s="49"/>
      <c r="O557" s="49">
        <v>7730</v>
      </c>
      <c r="P557" s="49"/>
      <c r="Q557" s="49">
        <v>2320</v>
      </c>
      <c r="R557" s="49"/>
      <c r="S557" s="49">
        <v>199202</v>
      </c>
      <c r="T557" s="49"/>
      <c r="U557" s="49">
        <v>0</v>
      </c>
      <c r="V557" s="49"/>
      <c r="W557" s="49">
        <v>0</v>
      </c>
      <c r="X557" s="49"/>
      <c r="Y557" s="49">
        <v>0</v>
      </c>
      <c r="Z557" s="49"/>
      <c r="AA557" s="49">
        <v>0</v>
      </c>
      <c r="AB557" s="49"/>
      <c r="AC557" s="49">
        <v>0</v>
      </c>
      <c r="AD557" s="49"/>
      <c r="AE557" s="49">
        <v>0</v>
      </c>
      <c r="AF557" s="49"/>
      <c r="AG557" s="49">
        <v>0</v>
      </c>
      <c r="AH557" s="49"/>
      <c r="AI557" s="49">
        <f t="shared" si="27"/>
        <v>254044</v>
      </c>
      <c r="AK557" s="6" t="str">
        <f>'Gen Rev'!A557</f>
        <v>Shiloh</v>
      </c>
      <c r="AL557" s="6" t="str">
        <f t="shared" si="25"/>
        <v>Shiloh</v>
      </c>
      <c r="AM557" s="6" t="b">
        <f t="shared" si="26"/>
        <v>1</v>
      </c>
    </row>
    <row r="558" spans="1:39" x14ac:dyDescent="0.2">
      <c r="A558" s="6" t="s">
        <v>777</v>
      </c>
      <c r="C558" s="6" t="s">
        <v>547</v>
      </c>
      <c r="E558" s="49">
        <v>36733</v>
      </c>
      <c r="F558" s="49"/>
      <c r="G558" s="49">
        <v>212580</v>
      </c>
      <c r="H558" s="49"/>
      <c r="I558" s="49">
        <v>100827</v>
      </c>
      <c r="J558" s="49"/>
      <c r="K558" s="49">
        <v>8965</v>
      </c>
      <c r="L558" s="49"/>
      <c r="M558" s="49">
        <v>1617</v>
      </c>
      <c r="N558" s="49"/>
      <c r="O558" s="49">
        <v>9038</v>
      </c>
      <c r="P558" s="49"/>
      <c r="Q558" s="49">
        <v>79</v>
      </c>
      <c r="R558" s="49"/>
      <c r="S558" s="49">
        <v>15487</v>
      </c>
      <c r="T558" s="49"/>
      <c r="U558" s="49">
        <v>0</v>
      </c>
      <c r="V558" s="49"/>
      <c r="W558" s="49">
        <v>0</v>
      </c>
      <c r="X558" s="49"/>
      <c r="Y558" s="49">
        <v>0</v>
      </c>
      <c r="Z558" s="49"/>
      <c r="AA558" s="49">
        <v>13000</v>
      </c>
      <c r="AB558" s="49"/>
      <c r="AC558" s="49">
        <v>0</v>
      </c>
      <c r="AD558" s="49"/>
      <c r="AE558" s="49">
        <v>0</v>
      </c>
      <c r="AF558" s="49"/>
      <c r="AG558" s="49">
        <v>0</v>
      </c>
      <c r="AH558" s="49"/>
      <c r="AI558" s="49">
        <f t="shared" si="27"/>
        <v>398326</v>
      </c>
      <c r="AK558" s="6" t="str">
        <f>'Gen Rev'!A558</f>
        <v>Shreve</v>
      </c>
      <c r="AL558" s="6" t="str">
        <f t="shared" si="25"/>
        <v>Shreve</v>
      </c>
      <c r="AM558" s="6" t="b">
        <f t="shared" si="26"/>
        <v>1</v>
      </c>
    </row>
    <row r="559" spans="1:39" x14ac:dyDescent="0.2">
      <c r="A559" s="6" t="s">
        <v>515</v>
      </c>
      <c r="C559" s="6" t="s">
        <v>511</v>
      </c>
      <c r="E559" s="49">
        <v>943801</v>
      </c>
      <c r="F559" s="49"/>
      <c r="G559" s="49">
        <v>608608</v>
      </c>
      <c r="H559" s="49"/>
      <c r="I559" s="49">
        <v>756255</v>
      </c>
      <c r="J559" s="49"/>
      <c r="K559" s="49">
        <v>10886</v>
      </c>
      <c r="L559" s="49"/>
      <c r="M559" s="49">
        <v>7564</v>
      </c>
      <c r="N559" s="49"/>
      <c r="O559" s="49">
        <v>87357</v>
      </c>
      <c r="P559" s="49"/>
      <c r="Q559" s="49">
        <v>1154</v>
      </c>
      <c r="R559" s="49"/>
      <c r="S559" s="49">
        <v>7158</v>
      </c>
      <c r="T559" s="49"/>
      <c r="U559" s="49">
        <v>0</v>
      </c>
      <c r="V559" s="49"/>
      <c r="W559" s="49">
        <v>0</v>
      </c>
      <c r="X559" s="49"/>
      <c r="Y559" s="49">
        <v>21875</v>
      </c>
      <c r="Z559" s="49"/>
      <c r="AA559" s="49">
        <v>100586</v>
      </c>
      <c r="AB559" s="49"/>
      <c r="AC559" s="49">
        <v>0</v>
      </c>
      <c r="AD559" s="49"/>
      <c r="AE559" s="49">
        <v>0</v>
      </c>
      <c r="AF559" s="49"/>
      <c r="AG559" s="49">
        <v>0</v>
      </c>
      <c r="AH559" s="49"/>
      <c r="AI559" s="49">
        <f t="shared" si="27"/>
        <v>2545244</v>
      </c>
      <c r="AK559" s="6" t="str">
        <f>'Gen Rev'!A559</f>
        <v>Silver Lake</v>
      </c>
      <c r="AL559" s="6" t="str">
        <f t="shared" si="25"/>
        <v>Silver Lake</v>
      </c>
      <c r="AM559" s="6" t="b">
        <f t="shared" si="26"/>
        <v>1</v>
      </c>
    </row>
    <row r="560" spans="1:39" x14ac:dyDescent="0.2">
      <c r="A560" s="6" t="s">
        <v>815</v>
      </c>
      <c r="C560" s="6" t="s">
        <v>351</v>
      </c>
      <c r="E560" s="49">
        <v>666428</v>
      </c>
      <c r="F560" s="49"/>
      <c r="G560" s="49">
        <v>1374332</v>
      </c>
      <c r="H560" s="49"/>
      <c r="I560" s="49">
        <v>561532</v>
      </c>
      <c r="J560" s="49"/>
      <c r="K560" s="49">
        <v>5620</v>
      </c>
      <c r="L560" s="49"/>
      <c r="M560" s="49">
        <v>291025</v>
      </c>
      <c r="N560" s="49"/>
      <c r="O560" s="49">
        <v>69371</v>
      </c>
      <c r="P560" s="49"/>
      <c r="Q560" s="49">
        <v>545</v>
      </c>
      <c r="R560" s="49"/>
      <c r="S560" s="49">
        <v>35001</v>
      </c>
      <c r="T560" s="49"/>
      <c r="U560" s="49">
        <v>0</v>
      </c>
      <c r="V560" s="49"/>
      <c r="W560" s="49">
        <v>0</v>
      </c>
      <c r="X560" s="49"/>
      <c r="Y560" s="49">
        <v>0</v>
      </c>
      <c r="Z560" s="49"/>
      <c r="AA560" s="49">
        <v>186000</v>
      </c>
      <c r="AB560" s="49"/>
      <c r="AC560" s="49">
        <v>0</v>
      </c>
      <c r="AD560" s="49"/>
      <c r="AE560" s="49">
        <v>0</v>
      </c>
      <c r="AF560" s="49"/>
      <c r="AG560" s="49">
        <v>0</v>
      </c>
      <c r="AH560" s="49"/>
      <c r="AI560" s="49">
        <f t="shared" si="27"/>
        <v>3189854</v>
      </c>
      <c r="AK560" s="6" t="str">
        <f>'Gen Rev'!A560</f>
        <v>Silverton</v>
      </c>
      <c r="AL560" s="6" t="str">
        <f t="shared" si="25"/>
        <v>Silverton</v>
      </c>
      <c r="AM560" s="6" t="b">
        <f t="shared" si="26"/>
        <v>1</v>
      </c>
    </row>
    <row r="561" spans="1:39" x14ac:dyDescent="0.2">
      <c r="A561" s="6" t="s">
        <v>381</v>
      </c>
      <c r="C561" s="6" t="s">
        <v>379</v>
      </c>
      <c r="E561" s="49">
        <v>6973</v>
      </c>
      <c r="F561" s="49"/>
      <c r="G561" s="49">
        <v>0</v>
      </c>
      <c r="H561" s="49"/>
      <c r="I561" s="49">
        <f>12886+6955</f>
        <v>19841</v>
      </c>
      <c r="J561" s="49"/>
      <c r="K561" s="49">
        <v>0</v>
      </c>
      <c r="L561" s="49"/>
      <c r="M561" s="49">
        <v>0</v>
      </c>
      <c r="N561" s="49"/>
      <c r="O561" s="49">
        <v>0</v>
      </c>
      <c r="P561" s="49"/>
      <c r="Q561" s="49">
        <v>0</v>
      </c>
      <c r="R561" s="49"/>
      <c r="S561" s="49">
        <f>76+79</f>
        <v>155</v>
      </c>
      <c r="T561" s="49"/>
      <c r="U561" s="49">
        <v>0</v>
      </c>
      <c r="V561" s="49"/>
      <c r="W561" s="49">
        <v>0</v>
      </c>
      <c r="X561" s="49"/>
      <c r="Y561" s="49">
        <v>0</v>
      </c>
      <c r="Z561" s="49"/>
      <c r="AA561" s="49">
        <v>0</v>
      </c>
      <c r="AB561" s="49"/>
      <c r="AC561" s="49">
        <v>0</v>
      </c>
      <c r="AD561" s="49"/>
      <c r="AE561" s="49">
        <v>0</v>
      </c>
      <c r="AF561" s="49"/>
      <c r="AG561" s="49">
        <v>0</v>
      </c>
      <c r="AH561" s="49"/>
      <c r="AI561" s="49">
        <f t="shared" si="27"/>
        <v>26969</v>
      </c>
      <c r="AK561" s="6" t="str">
        <f>'Gen Rev'!A561</f>
        <v>Sinking Spring</v>
      </c>
      <c r="AL561" s="6" t="str">
        <f t="shared" si="25"/>
        <v>Sinking Spring</v>
      </c>
      <c r="AM561" s="6" t="b">
        <f t="shared" si="26"/>
        <v>1</v>
      </c>
    </row>
    <row r="562" spans="1:39" x14ac:dyDescent="0.2">
      <c r="A562" s="6" t="s">
        <v>552</v>
      </c>
      <c r="C562" s="6" t="s">
        <v>547</v>
      </c>
      <c r="D562" s="6" t="s">
        <v>762</v>
      </c>
      <c r="E562" s="49">
        <v>54669</v>
      </c>
      <c r="F562" s="49"/>
      <c r="G562" s="49">
        <v>590145</v>
      </c>
      <c r="H562" s="49"/>
      <c r="I562" s="49">
        <v>103424</v>
      </c>
      <c r="J562" s="49"/>
      <c r="K562" s="49">
        <v>4773</v>
      </c>
      <c r="L562" s="49"/>
      <c r="M562" s="49">
        <v>31578</v>
      </c>
      <c r="N562" s="49"/>
      <c r="O562" s="49">
        <v>40929</v>
      </c>
      <c r="P562" s="49"/>
      <c r="Q562" s="49">
        <v>4946</v>
      </c>
      <c r="R562" s="49"/>
      <c r="S562" s="49">
        <v>16288</v>
      </c>
      <c r="T562" s="49"/>
      <c r="U562" s="49">
        <v>0</v>
      </c>
      <c r="V562" s="49"/>
      <c r="W562" s="49">
        <v>0</v>
      </c>
      <c r="X562" s="49"/>
      <c r="Y562" s="49">
        <v>0</v>
      </c>
      <c r="Z562" s="49"/>
      <c r="AA562" s="49">
        <v>91790</v>
      </c>
      <c r="AB562" s="49"/>
      <c r="AC562" s="49">
        <v>0</v>
      </c>
      <c r="AD562" s="49"/>
      <c r="AE562" s="49">
        <v>0</v>
      </c>
      <c r="AF562" s="49"/>
      <c r="AG562" s="49">
        <v>0</v>
      </c>
      <c r="AH562" s="49"/>
      <c r="AI562" s="49">
        <f t="shared" si="27"/>
        <v>938542</v>
      </c>
      <c r="AK562" s="6" t="str">
        <f>'Gen Rev'!A562</f>
        <v>Smithville</v>
      </c>
      <c r="AL562" s="6" t="str">
        <f t="shared" si="25"/>
        <v>Smithville</v>
      </c>
      <c r="AM562" s="6" t="b">
        <f t="shared" si="26"/>
        <v>1</v>
      </c>
    </row>
    <row r="563" spans="1:39" x14ac:dyDescent="0.2">
      <c r="A563" s="6" t="s">
        <v>809</v>
      </c>
      <c r="C563" s="6" t="s">
        <v>480</v>
      </c>
      <c r="E563" s="49">
        <v>12012.65</v>
      </c>
      <c r="F563" s="49"/>
      <c r="G563" s="49">
        <v>0</v>
      </c>
      <c r="H563" s="49"/>
      <c r="I563" s="49">
        <v>134385.65</v>
      </c>
      <c r="J563" s="49"/>
      <c r="K563" s="49">
        <v>0</v>
      </c>
      <c r="L563" s="49"/>
      <c r="M563" s="49">
        <v>1750</v>
      </c>
      <c r="N563" s="49"/>
      <c r="O563" s="49">
        <v>2318.64</v>
      </c>
      <c r="P563" s="49"/>
      <c r="Q563" s="49">
        <v>53.06</v>
      </c>
      <c r="R563" s="49"/>
      <c r="S563" s="49">
        <v>676.28</v>
      </c>
      <c r="T563" s="49"/>
      <c r="U563" s="49">
        <v>0</v>
      </c>
      <c r="V563" s="49"/>
      <c r="W563" s="49">
        <v>0</v>
      </c>
      <c r="X563" s="49"/>
      <c r="Y563" s="49">
        <v>0</v>
      </c>
      <c r="Z563" s="49"/>
      <c r="AA563" s="49">
        <v>0</v>
      </c>
      <c r="AB563" s="49"/>
      <c r="AC563" s="49">
        <v>0</v>
      </c>
      <c r="AD563" s="49"/>
      <c r="AE563" s="49">
        <v>0</v>
      </c>
      <c r="AF563" s="49"/>
      <c r="AG563" s="49">
        <v>0</v>
      </c>
      <c r="AH563" s="49"/>
      <c r="AI563" s="49">
        <f t="shared" si="27"/>
        <v>151196.28</v>
      </c>
      <c r="AK563" s="6" t="str">
        <f>'Gen Rev'!A563</f>
        <v>Somerville</v>
      </c>
      <c r="AL563" s="6" t="str">
        <f t="shared" si="25"/>
        <v>Somerville</v>
      </c>
      <c r="AM563" s="6" t="b">
        <f t="shared" si="26"/>
        <v>1</v>
      </c>
    </row>
    <row r="564" spans="1:39" x14ac:dyDescent="0.2">
      <c r="A564" s="6" t="s">
        <v>250</v>
      </c>
      <c r="C564" s="6" t="s">
        <v>467</v>
      </c>
      <c r="E564" s="49">
        <v>69090.5</v>
      </c>
      <c r="F564" s="49"/>
      <c r="G564" s="49">
        <v>253039.13</v>
      </c>
      <c r="H564" s="49"/>
      <c r="I564" s="49">
        <v>178384.77</v>
      </c>
      <c r="J564" s="49"/>
      <c r="K564" s="49">
        <v>9948.7000000000007</v>
      </c>
      <c r="L564" s="49"/>
      <c r="M564" s="49">
        <v>116573.59</v>
      </c>
      <c r="N564" s="49"/>
      <c r="O564" s="49">
        <v>48982.559999999998</v>
      </c>
      <c r="P564" s="49"/>
      <c r="Q564" s="49">
        <v>1386.75</v>
      </c>
      <c r="R564" s="49"/>
      <c r="S564" s="49">
        <v>17668.62</v>
      </c>
      <c r="T564" s="49"/>
      <c r="U564" s="49">
        <v>0</v>
      </c>
      <c r="V564" s="49"/>
      <c r="W564" s="49">
        <v>0</v>
      </c>
      <c r="X564" s="49"/>
      <c r="Y564" s="49">
        <v>0</v>
      </c>
      <c r="Z564" s="49"/>
      <c r="AA564" s="49">
        <v>0</v>
      </c>
      <c r="AB564" s="49"/>
      <c r="AC564" s="49">
        <v>0</v>
      </c>
      <c r="AD564" s="49"/>
      <c r="AE564" s="49">
        <v>21716.39</v>
      </c>
      <c r="AF564" s="49"/>
      <c r="AG564" s="49">
        <v>0</v>
      </c>
      <c r="AH564" s="49"/>
      <c r="AI564" s="49">
        <f t="shared" si="27"/>
        <v>716791.01</v>
      </c>
      <c r="AK564" s="6" t="str">
        <f>'Gen Rev'!A564</f>
        <v>South Bloomfield</v>
      </c>
      <c r="AL564" s="6" t="str">
        <f t="shared" si="25"/>
        <v>South Bloomfield</v>
      </c>
      <c r="AM564" s="6" t="b">
        <f t="shared" si="26"/>
        <v>1</v>
      </c>
    </row>
    <row r="565" spans="1:39" x14ac:dyDescent="0.2">
      <c r="A565" s="6" t="s">
        <v>704</v>
      </c>
      <c r="C565" s="6" t="s">
        <v>274</v>
      </c>
      <c r="E565" s="49">
        <v>62307.21</v>
      </c>
      <c r="F565" s="49"/>
      <c r="G565" s="49">
        <v>527143.23</v>
      </c>
      <c r="H565" s="49"/>
      <c r="I565" s="49">
        <v>127666.09</v>
      </c>
      <c r="J565" s="49"/>
      <c r="K565" s="49">
        <v>21140</v>
      </c>
      <c r="L565" s="49"/>
      <c r="M565" s="49">
        <v>19875.93</v>
      </c>
      <c r="N565" s="49"/>
      <c r="O565" s="49">
        <v>58053.75</v>
      </c>
      <c r="P565" s="49"/>
      <c r="Q565" s="49">
        <v>510.29</v>
      </c>
      <c r="R565" s="49"/>
      <c r="S565" s="49">
        <v>70170.83</v>
      </c>
      <c r="T565" s="49"/>
      <c r="U565" s="49">
        <v>0</v>
      </c>
      <c r="V565" s="49"/>
      <c r="W565" s="49">
        <v>0</v>
      </c>
      <c r="X565" s="49"/>
      <c r="Y565" s="49">
        <v>0</v>
      </c>
      <c r="Z565" s="49"/>
      <c r="AA565" s="49">
        <v>0</v>
      </c>
      <c r="AB565" s="49"/>
      <c r="AC565" s="49">
        <v>0</v>
      </c>
      <c r="AD565" s="49"/>
      <c r="AE565" s="49">
        <v>0</v>
      </c>
      <c r="AF565" s="49"/>
      <c r="AG565" s="49">
        <v>0</v>
      </c>
      <c r="AH565" s="49"/>
      <c r="AI565" s="49">
        <f t="shared" si="27"/>
        <v>886867.33</v>
      </c>
      <c r="AK565" s="6" t="str">
        <f>'Gen Rev'!A565</f>
        <v>South Charleston</v>
      </c>
      <c r="AL565" s="6" t="str">
        <f t="shared" si="25"/>
        <v>South Charleston</v>
      </c>
      <c r="AM565" s="6" t="b">
        <f t="shared" si="26"/>
        <v>1</v>
      </c>
    </row>
    <row r="566" spans="1:39" x14ac:dyDescent="0.2">
      <c r="A566" s="6" t="s">
        <v>542</v>
      </c>
      <c r="C566" s="6" t="s">
        <v>541</v>
      </c>
      <c r="E566" s="49">
        <v>143731.26</v>
      </c>
      <c r="F566" s="49"/>
      <c r="G566" s="49">
        <v>1045625.3</v>
      </c>
      <c r="H566" s="49"/>
      <c r="I566" s="49">
        <v>196263.49</v>
      </c>
      <c r="J566" s="49"/>
      <c r="K566" s="49">
        <v>0</v>
      </c>
      <c r="L566" s="49"/>
      <c r="M566" s="49">
        <v>34998</v>
      </c>
      <c r="N566" s="49"/>
      <c r="O566" s="49">
        <v>109693.18</v>
      </c>
      <c r="P566" s="49"/>
      <c r="Q566" s="49">
        <v>262914.43</v>
      </c>
      <c r="R566" s="49"/>
      <c r="S566" s="49">
        <v>225012.64</v>
      </c>
      <c r="T566" s="49"/>
      <c r="U566" s="49">
        <v>0</v>
      </c>
      <c r="V566" s="49"/>
      <c r="W566" s="49">
        <v>0</v>
      </c>
      <c r="X566" s="49"/>
      <c r="Y566" s="49">
        <v>0</v>
      </c>
      <c r="Z566" s="49"/>
      <c r="AA566" s="49">
        <v>0</v>
      </c>
      <c r="AB566" s="49"/>
      <c r="AC566" s="49">
        <v>0</v>
      </c>
      <c r="AD566" s="49"/>
      <c r="AE566" s="49">
        <v>31500</v>
      </c>
      <c r="AF566" s="49"/>
      <c r="AG566" s="49">
        <v>0</v>
      </c>
      <c r="AH566" s="49"/>
      <c r="AI566" s="49">
        <f t="shared" si="27"/>
        <v>2049738.2999999998</v>
      </c>
      <c r="AK566" s="6" t="str">
        <f>'Gen Rev'!A566</f>
        <v>South Lebanon</v>
      </c>
      <c r="AL566" s="6" t="str">
        <f t="shared" si="25"/>
        <v>South Lebanon</v>
      </c>
      <c r="AM566" s="6" t="b">
        <f t="shared" si="26"/>
        <v>1</v>
      </c>
    </row>
    <row r="567" spans="1:39" x14ac:dyDescent="0.2">
      <c r="A567" s="6" t="s">
        <v>120</v>
      </c>
      <c r="C567" s="6" t="s">
        <v>406</v>
      </c>
      <c r="E567" s="49">
        <v>264266.88</v>
      </c>
      <c r="F567" s="49"/>
      <c r="G567" s="49">
        <v>0</v>
      </c>
      <c r="H567" s="49"/>
      <c r="I567" s="49">
        <v>332109.48</v>
      </c>
      <c r="J567" s="49"/>
      <c r="K567" s="49">
        <v>4297.43</v>
      </c>
      <c r="L567" s="49"/>
      <c r="M567" s="49">
        <v>3240</v>
      </c>
      <c r="N567" s="49"/>
      <c r="O567" s="49">
        <v>153561.99</v>
      </c>
      <c r="P567" s="49"/>
      <c r="Q567" s="49">
        <v>0</v>
      </c>
      <c r="R567" s="49"/>
      <c r="S567" s="49">
        <v>14315.9</v>
      </c>
      <c r="T567" s="49"/>
      <c r="U567" s="49">
        <v>0</v>
      </c>
      <c r="V567" s="49"/>
      <c r="W567" s="49">
        <v>0</v>
      </c>
      <c r="X567" s="49"/>
      <c r="Y567" s="49">
        <v>0</v>
      </c>
      <c r="Z567" s="49"/>
      <c r="AA567" s="49">
        <v>69900</v>
      </c>
      <c r="AB567" s="49"/>
      <c r="AC567" s="49">
        <v>5000</v>
      </c>
      <c r="AD567" s="49"/>
      <c r="AE567" s="49">
        <v>0</v>
      </c>
      <c r="AF567" s="49"/>
      <c r="AG567" s="49">
        <v>0</v>
      </c>
      <c r="AH567" s="49"/>
      <c r="AI567" s="49">
        <f t="shared" si="27"/>
        <v>846691.68</v>
      </c>
      <c r="AK567" s="6" t="str">
        <f>'Gen Rev'!A567</f>
        <v>South Point</v>
      </c>
      <c r="AL567" s="6" t="str">
        <f t="shared" si="25"/>
        <v>South Point</v>
      </c>
      <c r="AM567" s="6" t="b">
        <f t="shared" si="26"/>
        <v>1</v>
      </c>
    </row>
    <row r="568" spans="1:39" x14ac:dyDescent="0.2">
      <c r="A568" s="6" t="s">
        <v>343</v>
      </c>
      <c r="C568" s="6" t="s">
        <v>342</v>
      </c>
      <c r="E568" s="49">
        <v>999339</v>
      </c>
      <c r="F568" s="49"/>
      <c r="G568" s="49">
        <v>1770021</v>
      </c>
      <c r="H568" s="49"/>
      <c r="I568" s="49">
        <v>517286</v>
      </c>
      <c r="J568" s="49"/>
      <c r="K568" s="49">
        <v>0</v>
      </c>
      <c r="L568" s="49"/>
      <c r="M568" s="49">
        <v>96735</v>
      </c>
      <c r="N568" s="49"/>
      <c r="O568" s="49">
        <v>74547</v>
      </c>
      <c r="P568" s="49"/>
      <c r="Q568" s="49">
        <v>4050</v>
      </c>
      <c r="R568" s="49"/>
      <c r="S568" s="49">
        <v>64862</v>
      </c>
      <c r="T568" s="49"/>
      <c r="U568" s="49">
        <v>0</v>
      </c>
      <c r="V568" s="49"/>
      <c r="W568" s="49">
        <v>0</v>
      </c>
      <c r="X568" s="49"/>
      <c r="Y568" s="49">
        <v>0</v>
      </c>
      <c r="Z568" s="49"/>
      <c r="AA568" s="49">
        <v>1251400</v>
      </c>
      <c r="AB568" s="49"/>
      <c r="AC568" s="49">
        <v>0</v>
      </c>
      <c r="AD568" s="49"/>
      <c r="AE568" s="49">
        <v>0</v>
      </c>
      <c r="AF568" s="49"/>
      <c r="AG568" s="49">
        <v>0</v>
      </c>
      <c r="AH568" s="49"/>
      <c r="AI568" s="49">
        <f t="shared" si="27"/>
        <v>4778240</v>
      </c>
      <c r="AK568" s="6" t="str">
        <f>'Gen Rev'!A568</f>
        <v>South Russell</v>
      </c>
      <c r="AL568" s="6" t="str">
        <f t="shared" si="25"/>
        <v>South Russell</v>
      </c>
      <c r="AM568" s="6" t="b">
        <f t="shared" si="26"/>
        <v>1</v>
      </c>
    </row>
    <row r="569" spans="1:39" x14ac:dyDescent="0.2">
      <c r="A569" s="6" t="s">
        <v>484</v>
      </c>
      <c r="C569" s="6" t="s">
        <v>485</v>
      </c>
      <c r="E569" s="49">
        <v>1795.8</v>
      </c>
      <c r="F569" s="49"/>
      <c r="G569" s="49">
        <v>0</v>
      </c>
      <c r="H569" s="49"/>
      <c r="I569" s="49">
        <v>20840.63</v>
      </c>
      <c r="J569" s="49"/>
      <c r="K569" s="49">
        <v>0</v>
      </c>
      <c r="L569" s="49"/>
      <c r="M569" s="49">
        <v>915</v>
      </c>
      <c r="N569" s="49"/>
      <c r="O569" s="49">
        <v>300</v>
      </c>
      <c r="P569" s="49"/>
      <c r="Q569" s="49">
        <v>1333.39</v>
      </c>
      <c r="R569" s="49"/>
      <c r="S569" s="49">
        <v>161.24</v>
      </c>
      <c r="T569" s="49"/>
      <c r="U569" s="49">
        <v>0</v>
      </c>
      <c r="V569" s="49"/>
      <c r="W569" s="49">
        <v>0</v>
      </c>
      <c r="X569" s="49"/>
      <c r="Y569" s="49">
        <v>0</v>
      </c>
      <c r="Z569" s="49"/>
      <c r="AA569" s="49">
        <v>0</v>
      </c>
      <c r="AB569" s="49"/>
      <c r="AC569" s="49">
        <v>0</v>
      </c>
      <c r="AD569" s="49"/>
      <c r="AE569" s="49">
        <v>0</v>
      </c>
      <c r="AF569" s="49"/>
      <c r="AG569" s="49">
        <v>0</v>
      </c>
      <c r="AH569" s="49"/>
      <c r="AI569" s="49">
        <f t="shared" si="27"/>
        <v>25346.06</v>
      </c>
      <c r="AK569" s="6" t="str">
        <f>'Gen Rev'!A569</f>
        <v>South Salem</v>
      </c>
      <c r="AL569" s="6" t="str">
        <f t="shared" si="25"/>
        <v>South Salem</v>
      </c>
      <c r="AM569" s="6" t="b">
        <f t="shared" si="26"/>
        <v>1</v>
      </c>
    </row>
    <row r="570" spans="1:39" x14ac:dyDescent="0.2">
      <c r="A570" s="6" t="s">
        <v>133</v>
      </c>
      <c r="C570" s="6" t="s">
        <v>401</v>
      </c>
      <c r="E570" s="49">
        <v>10165.82</v>
      </c>
      <c r="F570" s="49"/>
      <c r="G570" s="49">
        <v>1843.6</v>
      </c>
      <c r="H570" s="49"/>
      <c r="I570" s="49">
        <v>35229.47</v>
      </c>
      <c r="J570" s="49"/>
      <c r="K570" s="49">
        <v>1603.61</v>
      </c>
      <c r="L570" s="49"/>
      <c r="M570" s="49">
        <v>115</v>
      </c>
      <c r="N570" s="49"/>
      <c r="O570" s="49">
        <v>0</v>
      </c>
      <c r="P570" s="49"/>
      <c r="Q570" s="49">
        <v>31.36</v>
      </c>
      <c r="R570" s="49"/>
      <c r="S570" s="49">
        <v>643.79</v>
      </c>
      <c r="T570" s="49"/>
      <c r="U570" s="49">
        <v>0</v>
      </c>
      <c r="V570" s="49"/>
      <c r="W570" s="49">
        <v>0</v>
      </c>
      <c r="X570" s="49"/>
      <c r="Y570" s="49">
        <v>0</v>
      </c>
      <c r="Z570" s="49"/>
      <c r="AA570" s="49">
        <v>0</v>
      </c>
      <c r="AB570" s="49"/>
      <c r="AC570" s="49">
        <v>0</v>
      </c>
      <c r="AD570" s="49"/>
      <c r="AE570" s="49">
        <v>0</v>
      </c>
      <c r="AF570" s="49"/>
      <c r="AG570" s="49">
        <v>0</v>
      </c>
      <c r="AH570" s="49"/>
      <c r="AI570" s="49">
        <f t="shared" si="27"/>
        <v>49632.65</v>
      </c>
      <c r="AK570" s="6" t="str">
        <f>'Gen Rev'!A570</f>
        <v>South Solon</v>
      </c>
      <c r="AL570" s="6" t="str">
        <f t="shared" si="25"/>
        <v>South Solon</v>
      </c>
      <c r="AM570" s="6" t="b">
        <f t="shared" si="26"/>
        <v>1</v>
      </c>
    </row>
    <row r="571" spans="1:39" x14ac:dyDescent="0.2">
      <c r="A571" s="6" t="s">
        <v>34</v>
      </c>
      <c r="C571" s="6" t="s">
        <v>274</v>
      </c>
      <c r="E571" s="49">
        <v>34150.800000000003</v>
      </c>
      <c r="F571" s="49"/>
      <c r="G571" s="49">
        <v>0</v>
      </c>
      <c r="H571" s="49"/>
      <c r="I571" s="49">
        <v>26145.68</v>
      </c>
      <c r="J571" s="49"/>
      <c r="K571" s="49">
        <v>0</v>
      </c>
      <c r="L571" s="49"/>
      <c r="M571" s="49">
        <v>3476.25</v>
      </c>
      <c r="N571" s="49"/>
      <c r="O571" s="49">
        <v>14058.86</v>
      </c>
      <c r="P571" s="49"/>
      <c r="Q571" s="49">
        <v>3426.56</v>
      </c>
      <c r="R571" s="49"/>
      <c r="S571" s="49">
        <v>6316.33</v>
      </c>
      <c r="T571" s="49"/>
      <c r="U571" s="49">
        <v>0</v>
      </c>
      <c r="V571" s="49"/>
      <c r="W571" s="49">
        <v>0</v>
      </c>
      <c r="X571" s="49"/>
      <c r="Y571" s="49">
        <v>0</v>
      </c>
      <c r="Z571" s="49"/>
      <c r="AA571" s="49">
        <v>0</v>
      </c>
      <c r="AB571" s="49"/>
      <c r="AC571" s="49">
        <v>0</v>
      </c>
      <c r="AD571" s="49"/>
      <c r="AE571" s="49">
        <v>0</v>
      </c>
      <c r="AF571" s="49"/>
      <c r="AG571" s="49">
        <v>0</v>
      </c>
      <c r="AH571" s="49"/>
      <c r="AI571" s="49">
        <f t="shared" si="27"/>
        <v>87574.48</v>
      </c>
      <c r="AK571" s="6" t="str">
        <f>'Gen Rev'!A571</f>
        <v>South Vienna</v>
      </c>
      <c r="AL571" s="6" t="str">
        <f t="shared" si="25"/>
        <v>South Vienna</v>
      </c>
      <c r="AM571" s="6" t="b">
        <f t="shared" si="26"/>
        <v>1</v>
      </c>
    </row>
    <row r="572" spans="1:39" x14ac:dyDescent="0.2">
      <c r="A572" s="6" t="s">
        <v>202</v>
      </c>
      <c r="C572" s="6" t="s">
        <v>491</v>
      </c>
      <c r="E572" s="49">
        <v>28614.62</v>
      </c>
      <c r="F572" s="49"/>
      <c r="G572" s="49">
        <v>0</v>
      </c>
      <c r="H572" s="49"/>
      <c r="I572" s="49">
        <v>20792.66</v>
      </c>
      <c r="J572" s="49"/>
      <c r="K572" s="49">
        <v>0</v>
      </c>
      <c r="L572" s="49"/>
      <c r="M572" s="49">
        <v>2660</v>
      </c>
      <c r="N572" s="49"/>
      <c r="O572" s="49">
        <v>185.43</v>
      </c>
      <c r="P572" s="49"/>
      <c r="Q572" s="49">
        <v>37.83</v>
      </c>
      <c r="R572" s="49"/>
      <c r="S572" s="49">
        <v>510</v>
      </c>
      <c r="T572" s="49"/>
      <c r="U572" s="49">
        <v>0</v>
      </c>
      <c r="V572" s="49"/>
      <c r="W572" s="49">
        <v>0</v>
      </c>
      <c r="X572" s="49"/>
      <c r="Y572" s="49">
        <v>0</v>
      </c>
      <c r="Z572" s="49"/>
      <c r="AA572" s="49">
        <v>20000</v>
      </c>
      <c r="AB572" s="49"/>
      <c r="AC572" s="49">
        <v>0</v>
      </c>
      <c r="AD572" s="49"/>
      <c r="AE572" s="49">
        <v>0</v>
      </c>
      <c r="AF572" s="49"/>
      <c r="AG572" s="49">
        <v>0</v>
      </c>
      <c r="AH572" s="49"/>
      <c r="AI572" s="49">
        <f t="shared" si="27"/>
        <v>72800.540000000008</v>
      </c>
      <c r="AK572" s="6" t="str">
        <f>'Gen Rev'!A572</f>
        <v>South Webster</v>
      </c>
      <c r="AL572" s="6" t="str">
        <f t="shared" si="25"/>
        <v>South Webster</v>
      </c>
      <c r="AM572" s="6" t="b">
        <f t="shared" si="26"/>
        <v>1</v>
      </c>
    </row>
    <row r="573" spans="1:39" x14ac:dyDescent="0.2">
      <c r="A573" s="6" t="s">
        <v>855</v>
      </c>
      <c r="C573" s="6" t="s">
        <v>450</v>
      </c>
      <c r="E573" s="49">
        <v>200449.83</v>
      </c>
      <c r="F573" s="49"/>
      <c r="G573" s="49">
        <v>330414.07</v>
      </c>
      <c r="H573" s="49"/>
      <c r="I573" s="49">
        <v>229664.95</v>
      </c>
      <c r="J573" s="49"/>
      <c r="K573" s="49">
        <v>19308.849999999999</v>
      </c>
      <c r="L573" s="49"/>
      <c r="M573" s="49">
        <v>71949.11</v>
      </c>
      <c r="N573" s="49"/>
      <c r="O573" s="49">
        <v>9373</v>
      </c>
      <c r="P573" s="49"/>
      <c r="Q573" s="49">
        <v>414.2</v>
      </c>
      <c r="R573" s="49"/>
      <c r="S573" s="49">
        <v>18689.400000000001</v>
      </c>
      <c r="T573" s="49"/>
      <c r="U573" s="49">
        <v>34822.92</v>
      </c>
      <c r="V573" s="49"/>
      <c r="W573" s="49">
        <v>0</v>
      </c>
      <c r="X573" s="49"/>
      <c r="Y573" s="49">
        <v>0</v>
      </c>
      <c r="Z573" s="49"/>
      <c r="AA573" s="49">
        <v>116892.51</v>
      </c>
      <c r="AB573" s="49"/>
      <c r="AC573" s="49">
        <v>0</v>
      </c>
      <c r="AD573" s="49"/>
      <c r="AE573" s="49">
        <v>0</v>
      </c>
      <c r="AF573" s="49"/>
      <c r="AG573" s="49">
        <v>0</v>
      </c>
      <c r="AH573" s="49"/>
      <c r="AI573" s="49">
        <f t="shared" si="27"/>
        <v>1031978.8400000001</v>
      </c>
      <c r="AK573" s="6" t="str">
        <f>'Gen Rev'!A573</f>
        <v>South Zanesville</v>
      </c>
      <c r="AL573" s="6" t="str">
        <f t="shared" si="25"/>
        <v>South Zanesville</v>
      </c>
      <c r="AM573" s="6" t="b">
        <f t="shared" si="26"/>
        <v>1</v>
      </c>
    </row>
    <row r="574" spans="1:39" x14ac:dyDescent="0.2">
      <c r="A574" s="6" t="s">
        <v>710</v>
      </c>
      <c r="C574" s="6" t="s">
        <v>226</v>
      </c>
      <c r="E574" s="49">
        <v>11816.61</v>
      </c>
      <c r="F574" s="49"/>
      <c r="G574" s="49">
        <v>0</v>
      </c>
      <c r="H574" s="49"/>
      <c r="I574" s="49">
        <v>17062.849999999999</v>
      </c>
      <c r="J574" s="49"/>
      <c r="K574" s="49">
        <v>0</v>
      </c>
      <c r="L574" s="49"/>
      <c r="M574" s="49">
        <v>0</v>
      </c>
      <c r="N574" s="49"/>
      <c r="O574" s="49">
        <v>925.07</v>
      </c>
      <c r="P574" s="49"/>
      <c r="Q574" s="49">
        <v>42.81</v>
      </c>
      <c r="R574" s="49"/>
      <c r="S574" s="49">
        <v>761.88</v>
      </c>
      <c r="T574" s="49"/>
      <c r="U574" s="49">
        <v>0</v>
      </c>
      <c r="V574" s="49"/>
      <c r="W574" s="49">
        <v>0</v>
      </c>
      <c r="X574" s="49"/>
      <c r="Y574" s="49">
        <v>0</v>
      </c>
      <c r="Z574" s="49"/>
      <c r="AA574" s="49">
        <v>0</v>
      </c>
      <c r="AB574" s="49"/>
      <c r="AC574" s="49">
        <v>0</v>
      </c>
      <c r="AD574" s="49"/>
      <c r="AE574" s="49">
        <v>0</v>
      </c>
      <c r="AF574" s="49"/>
      <c r="AG574" s="49">
        <v>13946.1</v>
      </c>
      <c r="AH574" s="49"/>
      <c r="AI574" s="49">
        <f t="shared" si="27"/>
        <v>44555.32</v>
      </c>
      <c r="AK574" s="6" t="str">
        <f>'Gen Rev'!A574</f>
        <v>Sparta</v>
      </c>
      <c r="AL574" s="6" t="str">
        <f t="shared" si="25"/>
        <v>Sparta</v>
      </c>
      <c r="AM574" s="6" t="b">
        <f t="shared" si="26"/>
        <v>1</v>
      </c>
    </row>
    <row r="575" spans="1:39" x14ac:dyDescent="0.2">
      <c r="A575" s="6" t="s">
        <v>726</v>
      </c>
      <c r="C575" s="6" t="s">
        <v>823</v>
      </c>
      <c r="E575" s="49">
        <v>113024.38</v>
      </c>
      <c r="F575" s="49"/>
      <c r="G575" s="49">
        <v>0</v>
      </c>
      <c r="H575" s="49"/>
      <c r="I575" s="49">
        <v>52762.34</v>
      </c>
      <c r="J575" s="49"/>
      <c r="K575" s="49">
        <v>384.52</v>
      </c>
      <c r="L575" s="49"/>
      <c r="M575" s="49">
        <v>0</v>
      </c>
      <c r="N575" s="49"/>
      <c r="O575" s="49">
        <v>16857.45</v>
      </c>
      <c r="P575" s="49"/>
      <c r="Q575" s="49">
        <v>1655.5</v>
      </c>
      <c r="R575" s="49"/>
      <c r="S575" s="49">
        <v>310992.02</v>
      </c>
      <c r="T575" s="49"/>
      <c r="U575" s="49">
        <v>0</v>
      </c>
      <c r="V575" s="49"/>
      <c r="W575" s="49">
        <v>0</v>
      </c>
      <c r="X575" s="49"/>
      <c r="Y575" s="49">
        <v>0</v>
      </c>
      <c r="Z575" s="49"/>
      <c r="AA575" s="49">
        <v>80000</v>
      </c>
      <c r="AB575" s="49"/>
      <c r="AC575" s="49">
        <v>0</v>
      </c>
      <c r="AD575" s="49"/>
      <c r="AE575" s="49">
        <v>11385</v>
      </c>
      <c r="AF575" s="49"/>
      <c r="AG575" s="49">
        <v>0</v>
      </c>
      <c r="AH575" s="49"/>
      <c r="AI575" s="49">
        <f t="shared" si="27"/>
        <v>587061.21</v>
      </c>
      <c r="AK575" s="6" t="str">
        <f>'Gen Rev'!A575</f>
        <v>Spencer</v>
      </c>
      <c r="AL575" s="6" t="str">
        <f t="shared" si="25"/>
        <v>Spencer</v>
      </c>
      <c r="AM575" s="6" t="b">
        <f t="shared" si="26"/>
        <v>1</v>
      </c>
    </row>
    <row r="576" spans="1:39" x14ac:dyDescent="0.2">
      <c r="A576" s="6" t="s">
        <v>6</v>
      </c>
      <c r="C576" s="6" t="s">
        <v>651</v>
      </c>
      <c r="E576" s="49">
        <v>113956.75</v>
      </c>
      <c r="F576" s="49"/>
      <c r="G576" s="49">
        <v>428726.98</v>
      </c>
      <c r="H576" s="49"/>
      <c r="I576" s="49">
        <v>198710.05</v>
      </c>
      <c r="J576" s="49"/>
      <c r="K576" s="49">
        <v>0</v>
      </c>
      <c r="L576" s="49"/>
      <c r="M576" s="49">
        <v>5276.19</v>
      </c>
      <c r="N576" s="49"/>
      <c r="O576" s="49">
        <v>26764.240000000002</v>
      </c>
      <c r="P576" s="49"/>
      <c r="Q576" s="49">
        <v>146.22999999999999</v>
      </c>
      <c r="R576" s="49"/>
      <c r="S576" s="49">
        <v>6364.55</v>
      </c>
      <c r="T576" s="49"/>
      <c r="U576" s="49">
        <v>0</v>
      </c>
      <c r="V576" s="49"/>
      <c r="W576" s="49">
        <v>0</v>
      </c>
      <c r="X576" s="49"/>
      <c r="Y576" s="49">
        <v>0</v>
      </c>
      <c r="Z576" s="49"/>
      <c r="AA576" s="49">
        <v>401644.74</v>
      </c>
      <c r="AB576" s="49"/>
      <c r="AC576" s="49">
        <v>0</v>
      </c>
      <c r="AD576" s="49"/>
      <c r="AE576" s="49">
        <v>0</v>
      </c>
      <c r="AF576" s="49"/>
      <c r="AG576" s="49">
        <v>0</v>
      </c>
      <c r="AH576" s="49"/>
      <c r="AI576" s="49">
        <f t="shared" si="27"/>
        <v>1181589.73</v>
      </c>
      <c r="AK576" s="6" t="str">
        <f>'Gen Rev'!A576</f>
        <v>Spencerville</v>
      </c>
      <c r="AL576" s="6" t="str">
        <f t="shared" si="25"/>
        <v>Spencerville</v>
      </c>
      <c r="AM576" s="6" t="b">
        <f t="shared" si="26"/>
        <v>1</v>
      </c>
    </row>
    <row r="577" spans="1:39" x14ac:dyDescent="0.2">
      <c r="A577" s="6" t="s">
        <v>80</v>
      </c>
      <c r="C577" s="6" t="s">
        <v>345</v>
      </c>
      <c r="E577" s="49">
        <v>48778.26</v>
      </c>
      <c r="F577" s="49"/>
      <c r="G577" s="49">
        <v>0</v>
      </c>
      <c r="H577" s="49"/>
      <c r="I577" s="49">
        <v>617679.61</v>
      </c>
      <c r="J577" s="49"/>
      <c r="K577" s="49">
        <v>4248</v>
      </c>
      <c r="L577" s="49"/>
      <c r="M577" s="49">
        <v>6240</v>
      </c>
      <c r="N577" s="49"/>
      <c r="O577" s="49">
        <v>30103.24</v>
      </c>
      <c r="P577" s="49"/>
      <c r="Q577" s="49">
        <v>0</v>
      </c>
      <c r="R577" s="49"/>
      <c r="S577" s="49">
        <v>0</v>
      </c>
      <c r="T577" s="49"/>
      <c r="U577" s="49">
        <v>0</v>
      </c>
      <c r="V577" s="49"/>
      <c r="W577" s="49">
        <v>0</v>
      </c>
      <c r="X577" s="49"/>
      <c r="Y577" s="49">
        <v>0</v>
      </c>
      <c r="Z577" s="49"/>
      <c r="AA577" s="49">
        <v>0</v>
      </c>
      <c r="AB577" s="49"/>
      <c r="AC577" s="49">
        <v>0</v>
      </c>
      <c r="AD577" s="49"/>
      <c r="AE577" s="49">
        <v>0</v>
      </c>
      <c r="AF577" s="49"/>
      <c r="AG577" s="49">
        <v>0</v>
      </c>
      <c r="AH577" s="49"/>
      <c r="AI577" s="49">
        <f t="shared" si="27"/>
        <v>707049.11</v>
      </c>
      <c r="AK577" s="6" t="str">
        <f>'Gen Rev'!A577</f>
        <v>Spring Valley</v>
      </c>
      <c r="AL577" s="6" t="str">
        <f t="shared" si="25"/>
        <v>Spring Valley</v>
      </c>
      <c r="AM577" s="6" t="b">
        <f t="shared" si="26"/>
        <v>1</v>
      </c>
    </row>
    <row r="578" spans="1:39" x14ac:dyDescent="0.2">
      <c r="A578" s="6" t="s">
        <v>837</v>
      </c>
      <c r="C578" s="6" t="s">
        <v>351</v>
      </c>
      <c r="E578" s="49">
        <v>0</v>
      </c>
      <c r="F578" s="49"/>
      <c r="G578" s="49">
        <v>10423835</v>
      </c>
      <c r="H578" s="49"/>
      <c r="I578" s="49">
        <v>1469452</v>
      </c>
      <c r="J578" s="49"/>
      <c r="K578" s="49">
        <v>0</v>
      </c>
      <c r="L578" s="49"/>
      <c r="M578" s="49">
        <v>348349</v>
      </c>
      <c r="N578" s="49"/>
      <c r="O578" s="49">
        <f>98723+46545</f>
        <v>145268</v>
      </c>
      <c r="P578" s="49"/>
      <c r="Q578" s="49">
        <v>21570</v>
      </c>
      <c r="R578" s="49"/>
      <c r="S578" s="49">
        <v>813184</v>
      </c>
      <c r="T578" s="49"/>
      <c r="U578" s="49">
        <f>18185000+886049</f>
        <v>19071049</v>
      </c>
      <c r="V578" s="49"/>
      <c r="W578" s="49">
        <v>0</v>
      </c>
      <c r="X578" s="49"/>
      <c r="Y578" s="49">
        <v>93533</v>
      </c>
      <c r="Z578" s="49"/>
      <c r="AA578" s="49">
        <v>1025000</v>
      </c>
      <c r="AB578" s="49"/>
      <c r="AC578" s="49">
        <v>0</v>
      </c>
      <c r="AD578" s="49"/>
      <c r="AE578" s="49">
        <v>0</v>
      </c>
      <c r="AF578" s="49"/>
      <c r="AG578" s="49">
        <v>0</v>
      </c>
      <c r="AH578" s="49"/>
      <c r="AI578" s="49">
        <f t="shared" si="27"/>
        <v>33411240</v>
      </c>
      <c r="AK578" s="6" t="str">
        <f>'Gen Rev'!A578</f>
        <v>St. Bernard</v>
      </c>
      <c r="AL578" s="6" t="str">
        <f t="shared" si="25"/>
        <v>St. Bernard</v>
      </c>
      <c r="AM578" s="6" t="b">
        <f t="shared" si="26"/>
        <v>1</v>
      </c>
    </row>
    <row r="579" spans="1:39" x14ac:dyDescent="0.2">
      <c r="A579" s="6" t="s">
        <v>854</v>
      </c>
      <c r="C579" s="6" t="s">
        <v>433</v>
      </c>
      <c r="E579" s="49">
        <v>96615.27</v>
      </c>
      <c r="F579" s="49"/>
      <c r="G579" s="49">
        <v>794365.13</v>
      </c>
      <c r="H579" s="49"/>
      <c r="I579" s="49">
        <v>270640.19</v>
      </c>
      <c r="J579" s="49"/>
      <c r="K579" s="49">
        <v>1301.76</v>
      </c>
      <c r="L579" s="49"/>
      <c r="M579" s="49">
        <v>35132.080000000002</v>
      </c>
      <c r="N579" s="49"/>
      <c r="O579" s="49">
        <v>32140.07</v>
      </c>
      <c r="P579" s="49"/>
      <c r="Q579" s="49">
        <v>14297.15</v>
      </c>
      <c r="R579" s="49"/>
      <c r="S579" s="49">
        <v>0</v>
      </c>
      <c r="T579" s="49"/>
      <c r="U579" s="49">
        <v>0</v>
      </c>
      <c r="V579" s="49"/>
      <c r="W579" s="49">
        <v>0</v>
      </c>
      <c r="X579" s="49"/>
      <c r="Y579" s="49">
        <v>35530</v>
      </c>
      <c r="Z579" s="49"/>
      <c r="AA579" s="49">
        <v>40000</v>
      </c>
      <c r="AB579" s="49"/>
      <c r="AC579" s="49">
        <v>0</v>
      </c>
      <c r="AD579" s="49"/>
      <c r="AE579" s="49">
        <v>0</v>
      </c>
      <c r="AF579" s="49"/>
      <c r="AG579" s="49">
        <v>0</v>
      </c>
      <c r="AH579" s="49"/>
      <c r="AI579" s="49">
        <f t="shared" si="27"/>
        <v>1320021.6500000001</v>
      </c>
      <c r="AK579" s="6" t="str">
        <f>'Gen Rev'!A579</f>
        <v>St. Henry</v>
      </c>
      <c r="AL579" s="6" t="str">
        <f t="shared" si="25"/>
        <v>St. Henry</v>
      </c>
      <c r="AM579" s="6" t="b">
        <f t="shared" si="26"/>
        <v>1</v>
      </c>
    </row>
    <row r="580" spans="1:39" x14ac:dyDescent="0.2">
      <c r="A580" s="6" t="s">
        <v>412</v>
      </c>
      <c r="C580" s="6" t="s">
        <v>408</v>
      </c>
      <c r="E580" s="49">
        <v>5429</v>
      </c>
      <c r="F580" s="49"/>
      <c r="G580" s="49">
        <v>0</v>
      </c>
      <c r="H580" s="49"/>
      <c r="I580" s="49">
        <v>42447</v>
      </c>
      <c r="J580" s="49"/>
      <c r="K580" s="49">
        <v>0</v>
      </c>
      <c r="L580" s="49"/>
      <c r="M580" s="49">
        <v>0</v>
      </c>
      <c r="N580" s="49"/>
      <c r="O580" s="49">
        <v>30140</v>
      </c>
      <c r="P580" s="49"/>
      <c r="Q580" s="49">
        <v>0</v>
      </c>
      <c r="R580" s="49"/>
      <c r="S580" s="49">
        <v>67273</v>
      </c>
      <c r="T580" s="49"/>
      <c r="U580" s="49">
        <v>0</v>
      </c>
      <c r="V580" s="49"/>
      <c r="W580" s="49">
        <v>0</v>
      </c>
      <c r="X580" s="49"/>
      <c r="Y580" s="49">
        <v>0</v>
      </c>
      <c r="Z580" s="49"/>
      <c r="AA580" s="49">
        <v>0</v>
      </c>
      <c r="AB580" s="49"/>
      <c r="AC580" s="49">
        <v>0</v>
      </c>
      <c r="AD580" s="49"/>
      <c r="AE580" s="49">
        <v>0</v>
      </c>
      <c r="AF580" s="49"/>
      <c r="AG580" s="49">
        <v>0</v>
      </c>
      <c r="AH580" s="49"/>
      <c r="AI580" s="49">
        <f t="shared" si="27"/>
        <v>145289</v>
      </c>
      <c r="AK580" s="6" t="str">
        <f>'Gen Rev'!A580</f>
        <v>St. Louisville</v>
      </c>
      <c r="AL580" s="6" t="str">
        <f t="shared" si="25"/>
        <v>St. Louisville</v>
      </c>
      <c r="AM580" s="6" t="b">
        <f t="shared" si="26"/>
        <v>1</v>
      </c>
    </row>
    <row r="581" spans="1:39" x14ac:dyDescent="0.2">
      <c r="A581" s="6" t="s">
        <v>32</v>
      </c>
      <c r="C581" s="6" t="s">
        <v>269</v>
      </c>
      <c r="E581" s="49">
        <v>95517.96</v>
      </c>
      <c r="F581" s="49"/>
      <c r="G581" s="49">
        <v>299421.21000000002</v>
      </c>
      <c r="H581" s="49"/>
      <c r="I581" s="49">
        <v>161905.98000000001</v>
      </c>
      <c r="J581" s="49"/>
      <c r="K581" s="49">
        <v>12037.05</v>
      </c>
      <c r="L581" s="49"/>
      <c r="M581" s="49">
        <v>26926</v>
      </c>
      <c r="N581" s="49"/>
      <c r="O581" s="49">
        <v>57237.71</v>
      </c>
      <c r="P581" s="49"/>
      <c r="Q581" s="49">
        <v>3281.19</v>
      </c>
      <c r="R581" s="49"/>
      <c r="S581" s="49">
        <v>7624.03</v>
      </c>
      <c r="T581" s="49"/>
      <c r="U581" s="49">
        <v>0</v>
      </c>
      <c r="V581" s="49"/>
      <c r="W581" s="49">
        <v>0</v>
      </c>
      <c r="X581" s="49"/>
      <c r="Y581" s="49">
        <v>0</v>
      </c>
      <c r="Z581" s="49"/>
      <c r="AA581" s="49">
        <v>0</v>
      </c>
      <c r="AB581" s="49"/>
      <c r="AC581" s="49">
        <v>0</v>
      </c>
      <c r="AD581" s="49"/>
      <c r="AE581" s="49">
        <v>0</v>
      </c>
      <c r="AF581" s="49"/>
      <c r="AG581" s="49">
        <v>0</v>
      </c>
      <c r="AH581" s="49"/>
      <c r="AI581" s="49">
        <f t="shared" si="27"/>
        <v>663951.13</v>
      </c>
      <c r="AK581" s="6" t="str">
        <f>'Gen Rev'!A581</f>
        <v>St. Paris</v>
      </c>
      <c r="AL581" s="6" t="str">
        <f t="shared" si="25"/>
        <v>St. Paris</v>
      </c>
      <c r="AM581" s="6" t="b">
        <f t="shared" si="26"/>
        <v>1</v>
      </c>
    </row>
    <row r="582" spans="1:39" x14ac:dyDescent="0.2">
      <c r="A582" s="6" t="s">
        <v>444</v>
      </c>
      <c r="C582" s="6" t="s">
        <v>441</v>
      </c>
      <c r="E582" s="49">
        <v>3662</v>
      </c>
      <c r="F582" s="49"/>
      <c r="G582" s="49">
        <v>0</v>
      </c>
      <c r="H582" s="49"/>
      <c r="I582" s="49">
        <v>8772</v>
      </c>
      <c r="J582" s="49"/>
      <c r="K582" s="49">
        <v>0</v>
      </c>
      <c r="L582" s="49"/>
      <c r="M582" s="49">
        <v>0</v>
      </c>
      <c r="N582" s="49"/>
      <c r="O582" s="49">
        <v>0</v>
      </c>
      <c r="P582" s="49"/>
      <c r="Q582" s="49">
        <v>0</v>
      </c>
      <c r="R582" s="49"/>
      <c r="S582" s="49">
        <v>14</v>
      </c>
      <c r="T582" s="49"/>
      <c r="U582" s="49">
        <v>0</v>
      </c>
      <c r="V582" s="49"/>
      <c r="W582" s="49">
        <v>0</v>
      </c>
      <c r="X582" s="49"/>
      <c r="Y582" s="49">
        <v>0</v>
      </c>
      <c r="Z582" s="49"/>
      <c r="AA582" s="49">
        <v>0</v>
      </c>
      <c r="AB582" s="49"/>
      <c r="AC582" s="49">
        <v>0</v>
      </c>
      <c r="AD582" s="49"/>
      <c r="AE582" s="49">
        <v>0</v>
      </c>
      <c r="AF582" s="49"/>
      <c r="AG582" s="49">
        <v>0</v>
      </c>
      <c r="AH582" s="49"/>
      <c r="AI582" s="49">
        <f t="shared" si="27"/>
        <v>12448</v>
      </c>
      <c r="AK582" s="6" t="str">
        <f>'Gen Rev'!A582</f>
        <v>Stafford</v>
      </c>
      <c r="AL582" s="6" t="str">
        <f t="shared" si="25"/>
        <v>Stafford</v>
      </c>
      <c r="AM582" s="6" t="b">
        <f t="shared" si="26"/>
        <v>1</v>
      </c>
    </row>
    <row r="583" spans="1:39" x14ac:dyDescent="0.2">
      <c r="A583" s="6" t="s">
        <v>155</v>
      </c>
      <c r="C583" s="6" t="s">
        <v>765</v>
      </c>
      <c r="E583" s="49">
        <v>33341.17</v>
      </c>
      <c r="F583" s="49"/>
      <c r="G583" s="49">
        <v>0</v>
      </c>
      <c r="H583" s="49"/>
      <c r="I583" s="49">
        <v>22978.560000000001</v>
      </c>
      <c r="J583" s="49"/>
      <c r="K583" s="49">
        <v>0</v>
      </c>
      <c r="L583" s="49"/>
      <c r="M583" s="49">
        <v>3200</v>
      </c>
      <c r="N583" s="49"/>
      <c r="O583" s="49">
        <v>0</v>
      </c>
      <c r="P583" s="49"/>
      <c r="Q583" s="49">
        <v>1339.72</v>
      </c>
      <c r="R583" s="49"/>
      <c r="S583" s="49">
        <v>12209.42</v>
      </c>
      <c r="T583" s="49"/>
      <c r="U583" s="49">
        <v>0</v>
      </c>
      <c r="V583" s="49"/>
      <c r="W583" s="49">
        <v>0</v>
      </c>
      <c r="X583" s="49"/>
      <c r="Y583" s="49">
        <v>0</v>
      </c>
      <c r="Z583" s="49"/>
      <c r="AA583" s="49">
        <v>0</v>
      </c>
      <c r="AB583" s="49"/>
      <c r="AC583" s="49">
        <v>0</v>
      </c>
      <c r="AD583" s="49"/>
      <c r="AE583" s="49">
        <v>12664.25</v>
      </c>
      <c r="AF583" s="49"/>
      <c r="AG583" s="49">
        <v>0</v>
      </c>
      <c r="AH583" s="49"/>
      <c r="AI583" s="49">
        <f t="shared" si="27"/>
        <v>85733.119999999995</v>
      </c>
      <c r="AK583" s="6" t="str">
        <f>'Gen Rev'!A583</f>
        <v>Stockport</v>
      </c>
      <c r="AL583" s="6" t="str">
        <f t="shared" si="25"/>
        <v>Stockport</v>
      </c>
      <c r="AM583" s="6" t="b">
        <f t="shared" si="26"/>
        <v>1</v>
      </c>
    </row>
    <row r="584" spans="1:39" x14ac:dyDescent="0.2">
      <c r="A584" s="6" t="s">
        <v>527</v>
      </c>
      <c r="C584" s="6" t="s">
        <v>521</v>
      </c>
      <c r="E584" s="49">
        <v>3973.9</v>
      </c>
      <c r="F584" s="49"/>
      <c r="G584" s="49">
        <v>11381.46</v>
      </c>
      <c r="H584" s="49"/>
      <c r="I584" s="49">
        <v>14864.28</v>
      </c>
      <c r="J584" s="49"/>
      <c r="K584" s="49">
        <v>0</v>
      </c>
      <c r="L584" s="49"/>
      <c r="M584" s="49">
        <v>0</v>
      </c>
      <c r="N584" s="49"/>
      <c r="O584" s="49">
        <v>60</v>
      </c>
      <c r="P584" s="49"/>
      <c r="Q584" s="49">
        <v>5.1100000000000003</v>
      </c>
      <c r="R584" s="49"/>
      <c r="S584" s="49">
        <v>5109.49</v>
      </c>
      <c r="T584" s="49"/>
      <c r="U584" s="49">
        <v>0</v>
      </c>
      <c r="V584" s="49"/>
      <c r="W584" s="49">
        <v>0</v>
      </c>
      <c r="X584" s="49"/>
      <c r="Y584" s="49">
        <v>0</v>
      </c>
      <c r="Z584" s="49"/>
      <c r="AA584" s="49">
        <v>0</v>
      </c>
      <c r="AB584" s="49"/>
      <c r="AC584" s="49">
        <v>0</v>
      </c>
      <c r="AD584" s="49"/>
      <c r="AE584" s="49">
        <v>0</v>
      </c>
      <c r="AF584" s="49"/>
      <c r="AG584" s="49">
        <v>0</v>
      </c>
      <c r="AH584" s="49"/>
      <c r="AI584" s="49">
        <f t="shared" si="27"/>
        <v>35394.239999999998</v>
      </c>
      <c r="AK584" s="6" t="str">
        <f>'Gen Rev'!A584</f>
        <v>Stone Creek</v>
      </c>
      <c r="AL584" s="6" t="str">
        <f t="shared" si="25"/>
        <v>Stone Creek</v>
      </c>
      <c r="AM584" s="6" t="b">
        <f t="shared" si="26"/>
        <v>1</v>
      </c>
    </row>
    <row r="585" spans="1:39" x14ac:dyDescent="0.2">
      <c r="A585" s="6" t="s">
        <v>810</v>
      </c>
      <c r="C585" s="6" t="s">
        <v>327</v>
      </c>
      <c r="E585" s="49">
        <v>38945.72</v>
      </c>
      <c r="F585" s="49"/>
      <c r="G585" s="49">
        <v>0</v>
      </c>
      <c r="H585" s="49"/>
      <c r="I585" s="49">
        <v>39477.29</v>
      </c>
      <c r="J585" s="49"/>
      <c r="K585" s="49">
        <v>0</v>
      </c>
      <c r="L585" s="49"/>
      <c r="M585" s="49">
        <v>0</v>
      </c>
      <c r="N585" s="49"/>
      <c r="O585" s="49">
        <v>3176.44</v>
      </c>
      <c r="P585" s="49"/>
      <c r="Q585" s="49">
        <v>412.2</v>
      </c>
      <c r="R585" s="49"/>
      <c r="S585" s="49">
        <v>1301.24</v>
      </c>
      <c r="T585" s="49"/>
      <c r="U585" s="49">
        <v>0</v>
      </c>
      <c r="V585" s="49"/>
      <c r="W585" s="49">
        <v>0</v>
      </c>
      <c r="X585" s="49"/>
      <c r="Y585" s="49">
        <v>0</v>
      </c>
      <c r="Z585" s="49"/>
      <c r="AA585" s="49">
        <v>0</v>
      </c>
      <c r="AB585" s="49"/>
      <c r="AC585" s="49">
        <v>0</v>
      </c>
      <c r="AD585" s="49"/>
      <c r="AE585" s="49">
        <v>0</v>
      </c>
      <c r="AF585" s="49"/>
      <c r="AG585" s="49">
        <v>0</v>
      </c>
      <c r="AH585" s="49"/>
      <c r="AI585" s="49">
        <f t="shared" si="27"/>
        <v>83312.890000000014</v>
      </c>
      <c r="AK585" s="6" t="str">
        <f>'Gen Rev'!A585</f>
        <v>Stoutsville</v>
      </c>
      <c r="AL585" s="6" t="str">
        <f t="shared" si="25"/>
        <v>Stoutsville</v>
      </c>
      <c r="AM585" s="6" t="b">
        <f t="shared" si="26"/>
        <v>1</v>
      </c>
    </row>
    <row r="586" spans="1:39" x14ac:dyDescent="0.2">
      <c r="A586" s="6" t="s">
        <v>528</v>
      </c>
      <c r="C586" s="6" t="s">
        <v>521</v>
      </c>
      <c r="E586" s="49">
        <v>191610</v>
      </c>
      <c r="F586" s="49"/>
      <c r="G586" s="49">
        <v>485744</v>
      </c>
      <c r="H586" s="49"/>
      <c r="I586" s="49">
        <v>196468</v>
      </c>
      <c r="J586" s="49"/>
      <c r="K586" s="49">
        <v>0</v>
      </c>
      <c r="L586" s="49"/>
      <c r="M586" s="49">
        <v>182706</v>
      </c>
      <c r="N586" s="49"/>
      <c r="O586" s="49">
        <v>10234</v>
      </c>
      <c r="P586" s="49"/>
      <c r="Q586" s="49">
        <v>1539</v>
      </c>
      <c r="R586" s="49"/>
      <c r="S586" s="49">
        <v>25071</v>
      </c>
      <c r="T586" s="49"/>
      <c r="U586" s="49">
        <v>0</v>
      </c>
      <c r="V586" s="49"/>
      <c r="W586" s="49">
        <v>0</v>
      </c>
      <c r="X586" s="49"/>
      <c r="Y586" s="49">
        <v>0</v>
      </c>
      <c r="Z586" s="49"/>
      <c r="AA586" s="49">
        <v>0</v>
      </c>
      <c r="AB586" s="49"/>
      <c r="AC586" s="49">
        <v>0</v>
      </c>
      <c r="AD586" s="49"/>
      <c r="AE586" s="49">
        <v>0</v>
      </c>
      <c r="AF586" s="49"/>
      <c r="AG586" s="49">
        <v>0</v>
      </c>
      <c r="AH586" s="49"/>
      <c r="AI586" s="49">
        <f t="shared" si="27"/>
        <v>1093372</v>
      </c>
      <c r="AK586" s="6" t="str">
        <f>'Gen Rev'!A586</f>
        <v>Strasburg</v>
      </c>
      <c r="AL586" s="6" t="str">
        <f t="shared" si="25"/>
        <v>Strasburg</v>
      </c>
      <c r="AM586" s="6" t="b">
        <f t="shared" si="26"/>
        <v>1</v>
      </c>
    </row>
    <row r="587" spans="1:39" x14ac:dyDescent="0.2">
      <c r="A587" s="6" t="s">
        <v>393</v>
      </c>
      <c r="C587" s="6" t="s">
        <v>390</v>
      </c>
      <c r="E587" s="49">
        <v>1064912</v>
      </c>
      <c r="F587" s="49"/>
      <c r="G587" s="49">
        <v>0</v>
      </c>
      <c r="H587" s="49"/>
      <c r="I587" s="49">
        <v>371254</v>
      </c>
      <c r="J587" s="49"/>
      <c r="K587" s="49">
        <v>0</v>
      </c>
      <c r="L587" s="49"/>
      <c r="M587" s="49">
        <v>24593</v>
      </c>
      <c r="N587" s="49"/>
      <c r="O587" s="49">
        <v>580</v>
      </c>
      <c r="P587" s="49"/>
      <c r="Q587" s="49">
        <v>146</v>
      </c>
      <c r="R587" s="49"/>
      <c r="S587" s="49">
        <v>5525</v>
      </c>
      <c r="T587" s="49"/>
      <c r="U587" s="49">
        <v>0</v>
      </c>
      <c r="V587" s="49"/>
      <c r="W587" s="49">
        <v>0</v>
      </c>
      <c r="X587" s="49"/>
      <c r="Y587" s="49">
        <v>0</v>
      </c>
      <c r="Z587" s="49"/>
      <c r="AA587" s="49">
        <v>82488</v>
      </c>
      <c r="AB587" s="49"/>
      <c r="AC587" s="49">
        <v>0</v>
      </c>
      <c r="AD587" s="49"/>
      <c r="AE587" s="49">
        <v>27935</v>
      </c>
      <c r="AF587" s="49"/>
      <c r="AG587" s="49">
        <v>0</v>
      </c>
      <c r="AH587" s="49"/>
      <c r="AI587" s="49">
        <f t="shared" si="27"/>
        <v>1577433</v>
      </c>
      <c r="AK587" s="6" t="str">
        <f>'Gen Rev'!A587</f>
        <v>Stratton</v>
      </c>
      <c r="AL587" s="6" t="str">
        <f t="shared" si="25"/>
        <v>Stratton</v>
      </c>
      <c r="AM587" s="6" t="b">
        <f t="shared" si="26"/>
        <v>1</v>
      </c>
    </row>
    <row r="588" spans="1:39" x14ac:dyDescent="0.2">
      <c r="A588" s="6" t="s">
        <v>556</v>
      </c>
      <c r="C588" s="6" t="s">
        <v>554</v>
      </c>
      <c r="E588" s="49">
        <v>50166.51</v>
      </c>
      <c r="F588" s="49"/>
      <c r="G588" s="49">
        <v>427973.4</v>
      </c>
      <c r="H588" s="49"/>
      <c r="I588" s="49">
        <v>115534.45</v>
      </c>
      <c r="J588" s="49"/>
      <c r="K588" s="49">
        <v>15237.27</v>
      </c>
      <c r="L588" s="49"/>
      <c r="M588" s="49">
        <v>1375</v>
      </c>
      <c r="N588" s="49"/>
      <c r="O588" s="49">
        <v>20259.79</v>
      </c>
      <c r="P588" s="49"/>
      <c r="Q588" s="49">
        <v>458.62</v>
      </c>
      <c r="R588" s="49"/>
      <c r="S588" s="49">
        <v>16481.919999999998</v>
      </c>
      <c r="T588" s="49"/>
      <c r="U588" s="49">
        <v>0</v>
      </c>
      <c r="V588" s="49"/>
      <c r="W588" s="49">
        <v>0</v>
      </c>
      <c r="X588" s="49"/>
      <c r="Y588" s="49">
        <v>7102.38</v>
      </c>
      <c r="Z588" s="49"/>
      <c r="AA588" s="49">
        <v>0</v>
      </c>
      <c r="AB588" s="49"/>
      <c r="AC588" s="49">
        <v>0</v>
      </c>
      <c r="AD588" s="49"/>
      <c r="AE588" s="49">
        <v>0</v>
      </c>
      <c r="AF588" s="49"/>
      <c r="AG588" s="49">
        <v>0</v>
      </c>
      <c r="AH588" s="49"/>
      <c r="AI588" s="49">
        <f t="shared" si="27"/>
        <v>654589.34000000008</v>
      </c>
      <c r="AK588" s="6" t="str">
        <f>'Gen Rev'!A588</f>
        <v>Stryker</v>
      </c>
      <c r="AL588" s="6" t="str">
        <f t="shared" si="25"/>
        <v>Stryker</v>
      </c>
      <c r="AM588" s="6" t="b">
        <f t="shared" si="26"/>
        <v>1</v>
      </c>
    </row>
    <row r="589" spans="1:39" x14ac:dyDescent="0.2">
      <c r="A589" s="6" t="s">
        <v>181</v>
      </c>
      <c r="C589" s="6" t="s">
        <v>241</v>
      </c>
      <c r="E589" s="49">
        <v>57499.26</v>
      </c>
      <c r="F589" s="49"/>
      <c r="G589" s="49">
        <v>0</v>
      </c>
      <c r="H589" s="49"/>
      <c r="I589" s="49">
        <v>44608.67</v>
      </c>
      <c r="J589" s="49"/>
      <c r="K589" s="49">
        <v>0</v>
      </c>
      <c r="L589" s="49"/>
      <c r="M589" s="49">
        <v>0</v>
      </c>
      <c r="N589" s="49"/>
      <c r="O589" s="49">
        <v>3343.37</v>
      </c>
      <c r="P589" s="49"/>
      <c r="Q589" s="49">
        <v>47.93</v>
      </c>
      <c r="R589" s="49"/>
      <c r="S589" s="49">
        <v>0</v>
      </c>
      <c r="T589" s="49"/>
      <c r="U589" s="49">
        <v>0</v>
      </c>
      <c r="V589" s="49"/>
      <c r="W589" s="49">
        <v>0</v>
      </c>
      <c r="X589" s="49"/>
      <c r="Y589" s="49">
        <v>0</v>
      </c>
      <c r="Z589" s="49"/>
      <c r="AA589" s="49">
        <v>0</v>
      </c>
      <c r="AB589" s="49"/>
      <c r="AC589" s="49">
        <v>0</v>
      </c>
      <c r="AD589" s="49"/>
      <c r="AE589" s="49">
        <v>0</v>
      </c>
      <c r="AF589" s="49"/>
      <c r="AG589" s="49">
        <v>0</v>
      </c>
      <c r="AH589" s="49"/>
      <c r="AI589" s="49">
        <f t="shared" si="27"/>
        <v>105499.22999999998</v>
      </c>
      <c r="AK589" s="6" t="str">
        <f>'Gen Rev'!A589</f>
        <v>Sugar Bush Knolls</v>
      </c>
      <c r="AL589" s="6" t="str">
        <f t="shared" si="25"/>
        <v>Sugar Bush Knolls</v>
      </c>
      <c r="AM589" s="6" t="b">
        <f t="shared" si="26"/>
        <v>1</v>
      </c>
    </row>
    <row r="590" spans="1:39" x14ac:dyDescent="0.2">
      <c r="A590" s="6" t="s">
        <v>61</v>
      </c>
      <c r="C590" s="6" t="s">
        <v>327</v>
      </c>
      <c r="E590" s="49">
        <v>32243.5</v>
      </c>
      <c r="F590" s="49"/>
      <c r="G590" s="49">
        <v>99793.57</v>
      </c>
      <c r="H590" s="49"/>
      <c r="I590" s="49">
        <v>203701.58</v>
      </c>
      <c r="J590" s="49"/>
      <c r="K590" s="49">
        <v>0</v>
      </c>
      <c r="L590" s="49"/>
      <c r="M590" s="49">
        <v>0</v>
      </c>
      <c r="N590" s="49"/>
      <c r="O590" s="49">
        <v>6966.35</v>
      </c>
      <c r="P590" s="49"/>
      <c r="Q590" s="49">
        <v>778.19</v>
      </c>
      <c r="R590" s="49"/>
      <c r="S590" s="49">
        <v>3296.53</v>
      </c>
      <c r="T590" s="49"/>
      <c r="U590" s="49">
        <v>0</v>
      </c>
      <c r="V590" s="49"/>
      <c r="W590" s="49">
        <v>0</v>
      </c>
      <c r="X590" s="49"/>
      <c r="Y590" s="49">
        <v>0</v>
      </c>
      <c r="Z590" s="49"/>
      <c r="AA590" s="49">
        <v>7900</v>
      </c>
      <c r="AB590" s="49"/>
      <c r="AC590" s="49">
        <v>0</v>
      </c>
      <c r="AD590" s="49"/>
      <c r="AE590" s="49">
        <v>0</v>
      </c>
      <c r="AF590" s="49"/>
      <c r="AG590" s="49">
        <v>0</v>
      </c>
      <c r="AH590" s="49"/>
      <c r="AI590" s="49">
        <f t="shared" si="27"/>
        <v>354679.72000000003</v>
      </c>
      <c r="AK590" s="6" t="str">
        <f>'Gen Rev'!A590</f>
        <v>Sugar Grove</v>
      </c>
      <c r="AL590" s="6" t="str">
        <f t="shared" si="25"/>
        <v>Sugar Grove</v>
      </c>
      <c r="AM590" s="6" t="b">
        <f t="shared" si="26"/>
        <v>1</v>
      </c>
    </row>
    <row r="591" spans="1:39" x14ac:dyDescent="0.2">
      <c r="A591" s="6" t="s">
        <v>529</v>
      </c>
      <c r="C591" s="6" t="s">
        <v>521</v>
      </c>
      <c r="E591" s="49">
        <v>387731</v>
      </c>
      <c r="F591" s="49"/>
      <c r="G591" s="49">
        <v>1257200</v>
      </c>
      <c r="H591" s="49"/>
      <c r="I591" s="49">
        <v>314450</v>
      </c>
      <c r="J591" s="49"/>
      <c r="K591" s="49">
        <v>0</v>
      </c>
      <c r="L591" s="49"/>
      <c r="M591" s="49">
        <v>100911</v>
      </c>
      <c r="N591" s="49"/>
      <c r="O591" s="49">
        <v>3313</v>
      </c>
      <c r="P591" s="49"/>
      <c r="Q591" s="49">
        <v>3230</v>
      </c>
      <c r="R591" s="49"/>
      <c r="S591" s="49">
        <v>16787</v>
      </c>
      <c r="T591" s="49"/>
      <c r="U591" s="49">
        <v>0</v>
      </c>
      <c r="V591" s="49"/>
      <c r="W591" s="49">
        <v>0</v>
      </c>
      <c r="X591" s="49"/>
      <c r="Y591" s="49">
        <v>0</v>
      </c>
      <c r="Z591" s="49"/>
      <c r="AA591" s="49">
        <v>77742</v>
      </c>
      <c r="AB591" s="49"/>
      <c r="AC591" s="49">
        <v>0</v>
      </c>
      <c r="AD591" s="49"/>
      <c r="AE591" s="49">
        <v>8007</v>
      </c>
      <c r="AF591" s="49"/>
      <c r="AG591" s="49">
        <v>0</v>
      </c>
      <c r="AH591" s="49"/>
      <c r="AI591" s="49">
        <f t="shared" si="27"/>
        <v>2169371</v>
      </c>
      <c r="AK591" s="6" t="str">
        <f>'Gen Rev'!A591</f>
        <v>Sugarcreek</v>
      </c>
      <c r="AL591" s="6" t="str">
        <f t="shared" si="25"/>
        <v>Sugarcreek</v>
      </c>
      <c r="AM591" s="6" t="b">
        <f t="shared" si="26"/>
        <v>1</v>
      </c>
    </row>
    <row r="592" spans="1:39" x14ac:dyDescent="0.2">
      <c r="A592" s="6" t="s">
        <v>164</v>
      </c>
      <c r="C592" s="6" t="s">
        <v>455</v>
      </c>
      <c r="E592" s="49">
        <v>62244.1</v>
      </c>
      <c r="F592" s="49"/>
      <c r="G592" s="49">
        <v>0</v>
      </c>
      <c r="H592" s="49"/>
      <c r="I592" s="49">
        <v>17531.8</v>
      </c>
      <c r="J592" s="49"/>
      <c r="K592" s="49">
        <v>0</v>
      </c>
      <c r="L592" s="49"/>
      <c r="M592" s="49">
        <v>1271.48</v>
      </c>
      <c r="N592" s="49"/>
      <c r="O592" s="49">
        <v>0</v>
      </c>
      <c r="P592" s="49"/>
      <c r="Q592" s="49">
        <v>16.149999999999999</v>
      </c>
      <c r="R592" s="49"/>
      <c r="S592" s="49">
        <v>7169.5</v>
      </c>
      <c r="T592" s="49"/>
      <c r="U592" s="49">
        <v>0</v>
      </c>
      <c r="V592" s="49"/>
      <c r="W592" s="49">
        <v>0</v>
      </c>
      <c r="X592" s="49"/>
      <c r="Y592" s="49">
        <v>0</v>
      </c>
      <c r="Z592" s="49"/>
      <c r="AA592" s="49">
        <v>0</v>
      </c>
      <c r="AB592" s="49"/>
      <c r="AC592" s="49">
        <v>0</v>
      </c>
      <c r="AD592" s="49"/>
      <c r="AE592" s="49">
        <v>0</v>
      </c>
      <c r="AF592" s="49"/>
      <c r="AG592" s="49">
        <v>0</v>
      </c>
      <c r="AH592" s="49"/>
      <c r="AI592" s="49">
        <f t="shared" si="27"/>
        <v>88233.029999999984</v>
      </c>
      <c r="AK592" s="6" t="str">
        <f>'Gen Rev'!A592</f>
        <v>Summerfield</v>
      </c>
      <c r="AL592" s="6" t="str">
        <f t="shared" si="25"/>
        <v>Summerfield</v>
      </c>
      <c r="AM592" s="6" t="b">
        <f t="shared" si="26"/>
        <v>1</v>
      </c>
    </row>
    <row r="593" spans="1:39" x14ac:dyDescent="0.2">
      <c r="A593" s="6" t="s">
        <v>45</v>
      </c>
      <c r="C593" s="6" t="s">
        <v>283</v>
      </c>
      <c r="E593" s="49">
        <v>6733.55</v>
      </c>
      <c r="F593" s="49"/>
      <c r="G593" s="49">
        <v>0</v>
      </c>
      <c r="H593" s="49"/>
      <c r="I593" s="49">
        <v>13136.04</v>
      </c>
      <c r="J593" s="49"/>
      <c r="K593" s="49">
        <v>0</v>
      </c>
      <c r="L593" s="49"/>
      <c r="M593" s="49">
        <v>0</v>
      </c>
      <c r="N593" s="49"/>
      <c r="O593" s="49">
        <v>0</v>
      </c>
      <c r="P593" s="49"/>
      <c r="Q593" s="49">
        <v>0</v>
      </c>
      <c r="R593" s="49"/>
      <c r="S593" s="49">
        <v>62.7</v>
      </c>
      <c r="T593" s="49"/>
      <c r="U593" s="49">
        <v>0</v>
      </c>
      <c r="V593" s="49"/>
      <c r="W593" s="49">
        <v>0</v>
      </c>
      <c r="X593" s="49"/>
      <c r="Y593" s="49">
        <v>0</v>
      </c>
      <c r="Z593" s="49"/>
      <c r="AA593" s="49">
        <v>0</v>
      </c>
      <c r="AB593" s="49"/>
      <c r="AC593" s="49">
        <v>0</v>
      </c>
      <c r="AD593" s="49"/>
      <c r="AE593" s="49">
        <v>0</v>
      </c>
      <c r="AF593" s="49"/>
      <c r="AG593" s="49">
        <v>0</v>
      </c>
      <c r="AH593" s="49"/>
      <c r="AI593" s="49">
        <f t="shared" si="27"/>
        <v>19932.29</v>
      </c>
      <c r="AK593" s="6" t="str">
        <f>'Gen Rev'!A593</f>
        <v>Summitville</v>
      </c>
      <c r="AL593" s="6" t="str">
        <f t="shared" si="25"/>
        <v>Summitville</v>
      </c>
      <c r="AM593" s="6" t="b">
        <f t="shared" si="26"/>
        <v>1</v>
      </c>
    </row>
    <row r="594" spans="1:39" x14ac:dyDescent="0.2">
      <c r="A594" s="6" t="s">
        <v>323</v>
      </c>
      <c r="C594" s="6" t="s">
        <v>320</v>
      </c>
      <c r="E594" s="49">
        <v>250768</v>
      </c>
      <c r="F594" s="49"/>
      <c r="G594" s="49">
        <v>2235542</v>
      </c>
      <c r="H594" s="49"/>
      <c r="I594" s="49">
        <v>388116</v>
      </c>
      <c r="J594" s="49"/>
      <c r="K594" s="49">
        <v>0</v>
      </c>
      <c r="L594" s="49"/>
      <c r="M594" s="49">
        <v>37862</v>
      </c>
      <c r="N594" s="49"/>
      <c r="O594" s="49">
        <v>453461</v>
      </c>
      <c r="P594" s="49"/>
      <c r="Q594" s="49">
        <v>18393</v>
      </c>
      <c r="R594" s="49"/>
      <c r="S594" s="49">
        <f>5140+105573</f>
        <v>110713</v>
      </c>
      <c r="T594" s="49"/>
      <c r="U594" s="49">
        <v>0</v>
      </c>
      <c r="V594" s="49"/>
      <c r="W594" s="49">
        <v>2343915</v>
      </c>
      <c r="X594" s="49"/>
      <c r="Y594" s="49">
        <v>0</v>
      </c>
      <c r="Z594" s="49"/>
      <c r="AA594" s="49">
        <v>27400</v>
      </c>
      <c r="AB594" s="49"/>
      <c r="AC594" s="49">
        <v>0</v>
      </c>
      <c r="AD594" s="49"/>
      <c r="AE594" s="49">
        <v>0</v>
      </c>
      <c r="AF594" s="49"/>
      <c r="AG594" s="49">
        <v>0</v>
      </c>
      <c r="AH594" s="49"/>
      <c r="AI594" s="49">
        <f t="shared" si="27"/>
        <v>5866170</v>
      </c>
      <c r="AK594" s="6" t="str">
        <f>'Gen Rev'!A594</f>
        <v>Sunbury</v>
      </c>
      <c r="AL594" s="6" t="str">
        <f t="shared" si="25"/>
        <v>Sunbury</v>
      </c>
      <c r="AM594" s="6" t="b">
        <f t="shared" si="26"/>
        <v>1</v>
      </c>
    </row>
    <row r="595" spans="1:39" x14ac:dyDescent="0.2">
      <c r="A595" s="6" t="s">
        <v>336</v>
      </c>
      <c r="C595" s="6" t="s">
        <v>332</v>
      </c>
      <c r="E595" s="49">
        <v>165610.16</v>
      </c>
      <c r="F595" s="49"/>
      <c r="G595" s="49">
        <v>1206384.96</v>
      </c>
      <c r="H595" s="49"/>
      <c r="I595" s="49">
        <v>357679.1</v>
      </c>
      <c r="J595" s="49"/>
      <c r="K595" s="49">
        <v>66695.509999999995</v>
      </c>
      <c r="L595" s="49"/>
      <c r="M595" s="49">
        <v>56482.080000000002</v>
      </c>
      <c r="N595" s="49"/>
      <c r="O595" s="49">
        <v>52632.88</v>
      </c>
      <c r="P595" s="49"/>
      <c r="Q595" s="49">
        <v>9857.7999999999993</v>
      </c>
      <c r="R595" s="49"/>
      <c r="S595" s="49">
        <v>17509.93</v>
      </c>
      <c r="T595" s="49"/>
      <c r="U595" s="49">
        <v>0</v>
      </c>
      <c r="V595" s="49"/>
      <c r="W595" s="49">
        <v>0</v>
      </c>
      <c r="X595" s="49"/>
      <c r="Y595" s="49">
        <v>0</v>
      </c>
      <c r="Z595" s="49"/>
      <c r="AA595" s="49">
        <v>200000</v>
      </c>
      <c r="AB595" s="49"/>
      <c r="AC595" s="49">
        <v>0</v>
      </c>
      <c r="AD595" s="49"/>
      <c r="AE595" s="49">
        <v>0</v>
      </c>
      <c r="AF595" s="49"/>
      <c r="AG595" s="49">
        <v>8198.69</v>
      </c>
      <c r="AH595" s="49"/>
      <c r="AI595" s="49">
        <f t="shared" si="27"/>
        <v>2141051.11</v>
      </c>
      <c r="AK595" s="6" t="str">
        <f>'Gen Rev'!A595</f>
        <v>Swanton</v>
      </c>
      <c r="AL595" s="6" t="str">
        <f t="shared" si="25"/>
        <v>Swanton</v>
      </c>
      <c r="AM595" s="6" t="b">
        <f t="shared" si="26"/>
        <v>1</v>
      </c>
    </row>
    <row r="596" spans="1:39" x14ac:dyDescent="0.2">
      <c r="A596" s="6" t="s">
        <v>248</v>
      </c>
      <c r="C596" s="6" t="s">
        <v>566</v>
      </c>
      <c r="E596" s="49">
        <v>67020.53</v>
      </c>
      <c r="F596" s="49"/>
      <c r="G596" s="49">
        <v>110116.91</v>
      </c>
      <c r="H596" s="49"/>
      <c r="I596" s="49">
        <v>65279.73</v>
      </c>
      <c r="J596" s="49"/>
      <c r="K596" s="49">
        <v>0</v>
      </c>
      <c r="L596" s="49"/>
      <c r="M596" s="49">
        <v>130236.64</v>
      </c>
      <c r="N596" s="49"/>
      <c r="O596" s="49">
        <v>2249.75</v>
      </c>
      <c r="P596" s="49"/>
      <c r="Q596" s="49">
        <v>1095.18</v>
      </c>
      <c r="R596" s="49"/>
      <c r="S596" s="49">
        <v>37462.75</v>
      </c>
      <c r="T596" s="49"/>
      <c r="U596" s="49">
        <v>0</v>
      </c>
      <c r="V596" s="49"/>
      <c r="W596" s="49">
        <v>0</v>
      </c>
      <c r="X596" s="49"/>
      <c r="Y596" s="49">
        <v>0</v>
      </c>
      <c r="Z596" s="49"/>
      <c r="AA596" s="49">
        <v>104946.88</v>
      </c>
      <c r="AB596" s="49"/>
      <c r="AC596" s="49">
        <v>0</v>
      </c>
      <c r="AD596" s="49"/>
      <c r="AE596" s="49">
        <v>0</v>
      </c>
      <c r="AF596" s="49"/>
      <c r="AG596" s="49">
        <v>0</v>
      </c>
      <c r="AH596" s="49"/>
      <c r="AI596" s="49">
        <f t="shared" si="27"/>
        <v>518408.37</v>
      </c>
      <c r="AK596" s="6" t="str">
        <f>'Gen Rev'!A596</f>
        <v>Sycamore</v>
      </c>
      <c r="AL596" s="6" t="str">
        <f t="shared" si="25"/>
        <v>Sycamore</v>
      </c>
      <c r="AM596" s="6" t="b">
        <f t="shared" si="26"/>
        <v>1</v>
      </c>
    </row>
    <row r="597" spans="1:39" x14ac:dyDescent="0.2">
      <c r="A597" s="6" t="s">
        <v>147</v>
      </c>
      <c r="C597" s="6" t="s">
        <v>431</v>
      </c>
      <c r="E597" s="49">
        <v>45717.17</v>
      </c>
      <c r="F597" s="49"/>
      <c r="G597" s="49">
        <v>0</v>
      </c>
      <c r="H597" s="49"/>
      <c r="I597" s="49">
        <v>125220.24</v>
      </c>
      <c r="J597" s="49"/>
      <c r="K597" s="49">
        <v>0</v>
      </c>
      <c r="L597" s="49"/>
      <c r="M597" s="49">
        <v>9610.86</v>
      </c>
      <c r="N597" s="49"/>
      <c r="O597" s="49">
        <v>23741.8</v>
      </c>
      <c r="P597" s="49"/>
      <c r="Q597" s="49">
        <v>484.76</v>
      </c>
      <c r="R597" s="49"/>
      <c r="S597" s="49">
        <v>16216.07</v>
      </c>
      <c r="T597" s="49"/>
      <c r="U597" s="49">
        <v>0</v>
      </c>
      <c r="V597" s="49"/>
      <c r="W597" s="49">
        <v>0</v>
      </c>
      <c r="X597" s="49"/>
      <c r="Y597" s="49">
        <v>0</v>
      </c>
      <c r="Z597" s="49"/>
      <c r="AA597" s="49">
        <v>873.97</v>
      </c>
      <c r="AB597" s="49"/>
      <c r="AC597" s="49">
        <v>3000</v>
      </c>
      <c r="AD597" s="49"/>
      <c r="AE597" s="49">
        <v>6450</v>
      </c>
      <c r="AF597" s="49"/>
      <c r="AG597" s="49">
        <v>0</v>
      </c>
      <c r="AH597" s="49"/>
      <c r="AI597" s="49">
        <f t="shared" si="27"/>
        <v>231314.87000000002</v>
      </c>
      <c r="AK597" s="6" t="str">
        <f>'Gen Rev'!A597</f>
        <v>Syracuse</v>
      </c>
      <c r="AL597" s="6" t="str">
        <f t="shared" si="25"/>
        <v>Syracuse</v>
      </c>
      <c r="AM597" s="6" t="b">
        <f t="shared" si="26"/>
        <v>1</v>
      </c>
    </row>
    <row r="598" spans="1:39" x14ac:dyDescent="0.2">
      <c r="A598" s="6" t="s">
        <v>176</v>
      </c>
      <c r="C598" s="6" t="s">
        <v>467</v>
      </c>
      <c r="E598" s="49">
        <v>13351</v>
      </c>
      <c r="F598" s="49"/>
      <c r="G598" s="49">
        <v>0</v>
      </c>
      <c r="H598" s="49"/>
      <c r="I598" s="49">
        <v>29175.88</v>
      </c>
      <c r="J598" s="49"/>
      <c r="K598" s="49">
        <v>0</v>
      </c>
      <c r="L598" s="49"/>
      <c r="M598" s="49">
        <v>1750</v>
      </c>
      <c r="N598" s="49"/>
      <c r="O598" s="49">
        <v>2762.12</v>
      </c>
      <c r="P598" s="49"/>
      <c r="Q598" s="49">
        <v>110.03</v>
      </c>
      <c r="R598" s="49"/>
      <c r="S598" s="49">
        <v>59.8</v>
      </c>
      <c r="T598" s="49"/>
      <c r="U598" s="49">
        <v>0</v>
      </c>
      <c r="V598" s="49"/>
      <c r="W598" s="49">
        <v>0</v>
      </c>
      <c r="X598" s="49"/>
      <c r="Y598" s="49">
        <v>0</v>
      </c>
      <c r="Z598" s="49"/>
      <c r="AA598" s="49">
        <v>4891.8999999999996</v>
      </c>
      <c r="AB598" s="49"/>
      <c r="AC598" s="49">
        <v>0</v>
      </c>
      <c r="AD598" s="49"/>
      <c r="AE598" s="49">
        <v>0</v>
      </c>
      <c r="AF598" s="49"/>
      <c r="AG598" s="49">
        <v>0</v>
      </c>
      <c r="AH598" s="49"/>
      <c r="AI598" s="49">
        <f t="shared" si="27"/>
        <v>52100.73000000001</v>
      </c>
      <c r="AK598" s="6" t="str">
        <f>'Gen Rev'!A598</f>
        <v>Tarlton</v>
      </c>
      <c r="AL598" s="6" t="str">
        <f t="shared" si="25"/>
        <v>Tarlton</v>
      </c>
      <c r="AM598" s="6" t="b">
        <f t="shared" si="26"/>
        <v>1</v>
      </c>
    </row>
    <row r="599" spans="1:39" x14ac:dyDescent="0.2">
      <c r="A599" s="6" t="s">
        <v>357</v>
      </c>
      <c r="C599" s="6" t="s">
        <v>351</v>
      </c>
      <c r="E599" s="49">
        <v>1209857.32</v>
      </c>
      <c r="F599" s="49"/>
      <c r="G599" s="49">
        <v>0</v>
      </c>
      <c r="H599" s="49"/>
      <c r="I599" s="49">
        <v>392674.25</v>
      </c>
      <c r="J599" s="49"/>
      <c r="K599" s="49">
        <v>47524.01</v>
      </c>
      <c r="L599" s="49"/>
      <c r="M599" s="49">
        <v>0</v>
      </c>
      <c r="N599" s="49"/>
      <c r="O599" s="49">
        <v>115259.23</v>
      </c>
      <c r="P599" s="49"/>
      <c r="Q599" s="49">
        <v>1471.77</v>
      </c>
      <c r="R599" s="49"/>
      <c r="S599" s="49">
        <v>50200.45</v>
      </c>
      <c r="T599" s="49"/>
      <c r="U599" s="49">
        <v>0</v>
      </c>
      <c r="V599" s="49"/>
      <c r="W599" s="49">
        <v>0</v>
      </c>
      <c r="X599" s="49"/>
      <c r="Y599" s="49">
        <v>0</v>
      </c>
      <c r="Z599" s="49"/>
      <c r="AA599" s="49">
        <v>0</v>
      </c>
      <c r="AB599" s="49"/>
      <c r="AC599" s="49">
        <v>450</v>
      </c>
      <c r="AD599" s="49"/>
      <c r="AE599" s="49">
        <v>0</v>
      </c>
      <c r="AF599" s="49"/>
      <c r="AG599" s="49">
        <v>0</v>
      </c>
      <c r="AH599" s="49"/>
      <c r="AI599" s="49">
        <f t="shared" si="27"/>
        <v>1817437.03</v>
      </c>
      <c r="AK599" s="6" t="str">
        <f>'Gen Rev'!A599</f>
        <v>Terrace Park</v>
      </c>
      <c r="AL599" s="6" t="str">
        <f t="shared" si="25"/>
        <v>Terrace Park</v>
      </c>
      <c r="AM599" s="6" t="b">
        <f t="shared" si="26"/>
        <v>1</v>
      </c>
    </row>
    <row r="600" spans="1:39" x14ac:dyDescent="0.2">
      <c r="A600" s="6" t="s">
        <v>466</v>
      </c>
      <c r="C600" s="6" t="s">
        <v>464</v>
      </c>
      <c r="E600" s="49">
        <v>143077.49</v>
      </c>
      <c r="F600" s="49"/>
      <c r="G600" s="49">
        <v>0</v>
      </c>
      <c r="H600" s="49"/>
      <c r="I600" s="49">
        <v>156111.45000000001</v>
      </c>
      <c r="J600" s="49"/>
      <c r="K600" s="49">
        <v>0</v>
      </c>
      <c r="L600" s="49"/>
      <c r="M600" s="49">
        <v>18293.240000000002</v>
      </c>
      <c r="N600" s="49"/>
      <c r="O600" s="49">
        <v>46478.47</v>
      </c>
      <c r="P600" s="49"/>
      <c r="Q600" s="49">
        <v>12751.18</v>
      </c>
      <c r="R600" s="49"/>
      <c r="S600" s="49">
        <v>207764.25</v>
      </c>
      <c r="T600" s="49"/>
      <c r="U600" s="49">
        <v>0</v>
      </c>
      <c r="V600" s="49"/>
      <c r="W600" s="49">
        <v>0</v>
      </c>
      <c r="X600" s="49"/>
      <c r="Y600" s="49">
        <v>1871.66</v>
      </c>
      <c r="Z600" s="49"/>
      <c r="AA600" s="49">
        <v>0</v>
      </c>
      <c r="AB600" s="49"/>
      <c r="AC600" s="49">
        <v>0</v>
      </c>
      <c r="AD600" s="49"/>
      <c r="AE600" s="49">
        <v>0</v>
      </c>
      <c r="AF600" s="49"/>
      <c r="AG600" s="49">
        <v>0</v>
      </c>
      <c r="AH600" s="49"/>
      <c r="AI600" s="49">
        <f t="shared" si="27"/>
        <v>586347.74000000011</v>
      </c>
      <c r="AK600" s="6" t="str">
        <f>'Gen Rev'!A600</f>
        <v>Thornville</v>
      </c>
      <c r="AL600" s="6" t="str">
        <f t="shared" si="25"/>
        <v>Thornville</v>
      </c>
      <c r="AM600" s="6" t="b">
        <f t="shared" si="26"/>
        <v>1</v>
      </c>
    </row>
    <row r="601" spans="1:39" x14ac:dyDescent="0.2">
      <c r="A601" s="6" t="s">
        <v>62</v>
      </c>
      <c r="C601" s="6" t="s">
        <v>327</v>
      </c>
      <c r="E601" s="49">
        <v>22273.42</v>
      </c>
      <c r="F601" s="49"/>
      <c r="G601" s="49">
        <v>52492.32</v>
      </c>
      <c r="H601" s="49"/>
      <c r="I601" s="49">
        <v>103061.98</v>
      </c>
      <c r="J601" s="49"/>
      <c r="K601" s="49">
        <v>0</v>
      </c>
      <c r="L601" s="49"/>
      <c r="M601" s="49">
        <v>151073.57999999999</v>
      </c>
      <c r="N601" s="49"/>
      <c r="O601" s="49">
        <v>0</v>
      </c>
      <c r="P601" s="49"/>
      <c r="Q601" s="49">
        <v>584.07000000000005</v>
      </c>
      <c r="R601" s="49"/>
      <c r="S601" s="49">
        <v>316336.34000000003</v>
      </c>
      <c r="T601" s="49"/>
      <c r="U601" s="49">
        <v>0</v>
      </c>
      <c r="V601" s="49"/>
      <c r="W601" s="49">
        <v>0</v>
      </c>
      <c r="X601" s="49"/>
      <c r="Y601" s="49">
        <v>0</v>
      </c>
      <c r="Z601" s="49"/>
      <c r="AA601" s="49">
        <v>40817.81</v>
      </c>
      <c r="AB601" s="49"/>
      <c r="AC601" s="49">
        <v>0</v>
      </c>
      <c r="AD601" s="49"/>
      <c r="AE601" s="49">
        <v>0</v>
      </c>
      <c r="AF601" s="49"/>
      <c r="AG601" s="49">
        <v>0</v>
      </c>
      <c r="AH601" s="49"/>
      <c r="AI601" s="49">
        <f t="shared" si="27"/>
        <v>686639.52</v>
      </c>
      <c r="AK601" s="6" t="str">
        <f>'Gen Rev'!A601</f>
        <v>Thurston</v>
      </c>
      <c r="AL601" s="6" t="str">
        <f t="shared" si="25"/>
        <v>Thurston</v>
      </c>
      <c r="AM601" s="6" t="b">
        <f t="shared" si="26"/>
        <v>1</v>
      </c>
    </row>
    <row r="602" spans="1:39" x14ac:dyDescent="0.2">
      <c r="A602" s="6" t="s">
        <v>403</v>
      </c>
      <c r="C602" s="6" t="s">
        <v>399</v>
      </c>
      <c r="E602" s="49">
        <v>263734</v>
      </c>
      <c r="F602" s="49"/>
      <c r="G602" s="49">
        <v>89280</v>
      </c>
      <c r="H602" s="49"/>
      <c r="I602" s="49">
        <v>63680</v>
      </c>
      <c r="J602" s="49"/>
      <c r="K602" s="49">
        <v>0</v>
      </c>
      <c r="L602" s="49"/>
      <c r="M602" s="49">
        <v>25746</v>
      </c>
      <c r="N602" s="49"/>
      <c r="O602" s="49">
        <v>13845</v>
      </c>
      <c r="P602" s="49"/>
      <c r="Q602" s="49">
        <v>154</v>
      </c>
      <c r="R602" s="49"/>
      <c r="S602" s="49">
        <v>75620</v>
      </c>
      <c r="T602" s="49"/>
      <c r="U602" s="49">
        <v>0</v>
      </c>
      <c r="V602" s="49"/>
      <c r="W602" s="49">
        <v>0</v>
      </c>
      <c r="X602" s="49"/>
      <c r="Y602" s="49">
        <v>0</v>
      </c>
      <c r="Z602" s="49"/>
      <c r="AA602" s="49">
        <v>0</v>
      </c>
      <c r="AB602" s="49"/>
      <c r="AC602" s="49">
        <v>0</v>
      </c>
      <c r="AD602" s="49"/>
      <c r="AE602" s="49">
        <v>0</v>
      </c>
      <c r="AF602" s="49"/>
      <c r="AG602" s="49">
        <v>0</v>
      </c>
      <c r="AH602" s="49"/>
      <c r="AI602" s="49">
        <f t="shared" si="27"/>
        <v>532059</v>
      </c>
      <c r="AK602" s="6" t="str">
        <f>'Gen Rev'!A602</f>
        <v>Timberlake</v>
      </c>
      <c r="AL602" s="6" t="str">
        <f t="shared" si="25"/>
        <v>Timberlake</v>
      </c>
      <c r="AM602" s="6" t="b">
        <f t="shared" si="26"/>
        <v>1</v>
      </c>
    </row>
    <row r="603" spans="1:39" x14ac:dyDescent="0.2">
      <c r="A603" s="6" t="s">
        <v>727</v>
      </c>
      <c r="C603" s="6" t="s">
        <v>289</v>
      </c>
      <c r="E603" s="49">
        <v>2465.71</v>
      </c>
      <c r="F603" s="49"/>
      <c r="G603" s="49">
        <v>1210.3800000000001</v>
      </c>
      <c r="H603" s="49"/>
      <c r="I603" s="49">
        <v>19539.849999999999</v>
      </c>
      <c r="J603" s="49"/>
      <c r="K603" s="49">
        <v>0</v>
      </c>
      <c r="L603" s="49"/>
      <c r="M603" s="49">
        <v>100</v>
      </c>
      <c r="N603" s="49"/>
      <c r="O603" s="49">
        <v>0</v>
      </c>
      <c r="P603" s="49"/>
      <c r="Q603" s="49">
        <v>9.92</v>
      </c>
      <c r="R603" s="49"/>
      <c r="S603" s="49">
        <v>71.13</v>
      </c>
      <c r="T603" s="49"/>
      <c r="U603" s="49">
        <v>0</v>
      </c>
      <c r="V603" s="49"/>
      <c r="W603" s="49">
        <v>0</v>
      </c>
      <c r="X603" s="49"/>
      <c r="Y603" s="49">
        <v>0</v>
      </c>
      <c r="Z603" s="49"/>
      <c r="AA603" s="49">
        <v>0</v>
      </c>
      <c r="AB603" s="49"/>
      <c r="AC603" s="49">
        <v>0</v>
      </c>
      <c r="AD603" s="49"/>
      <c r="AE603" s="49">
        <v>0</v>
      </c>
      <c r="AF603" s="49"/>
      <c r="AG603" s="49">
        <v>0</v>
      </c>
      <c r="AH603" s="49"/>
      <c r="AI603" s="49">
        <f t="shared" si="27"/>
        <v>23396.989999999998</v>
      </c>
      <c r="AK603" s="6" t="str">
        <f>'Gen Rev'!A603</f>
        <v>Tiro</v>
      </c>
      <c r="AL603" s="6" t="str">
        <f t="shared" si="25"/>
        <v>Tiro</v>
      </c>
      <c r="AM603" s="6" t="b">
        <f t="shared" si="26"/>
        <v>1</v>
      </c>
    </row>
    <row r="604" spans="1:39" x14ac:dyDescent="0.2">
      <c r="A604" s="6" t="s">
        <v>564</v>
      </c>
      <c r="C604" s="6" t="s">
        <v>558</v>
      </c>
      <c r="E604" s="49">
        <v>25459.74</v>
      </c>
      <c r="F604" s="49"/>
      <c r="G604" s="49">
        <v>94500.73</v>
      </c>
      <c r="H604" s="49"/>
      <c r="I604" s="49">
        <v>26072.080000000002</v>
      </c>
      <c r="J604" s="49"/>
      <c r="K604" s="49">
        <v>8748.43</v>
      </c>
      <c r="L604" s="49"/>
      <c r="M604" s="49">
        <v>0</v>
      </c>
      <c r="N604" s="49"/>
      <c r="O604" s="49">
        <v>4270.71</v>
      </c>
      <c r="P604" s="49"/>
      <c r="Q604" s="49">
        <v>9.74</v>
      </c>
      <c r="R604" s="49"/>
      <c r="S604" s="49">
        <v>3632</v>
      </c>
      <c r="T604" s="49"/>
      <c r="U604" s="49">
        <v>0</v>
      </c>
      <c r="V604" s="49"/>
      <c r="W604" s="49">
        <v>0</v>
      </c>
      <c r="X604" s="49"/>
      <c r="Y604" s="49">
        <v>0</v>
      </c>
      <c r="Z604" s="49"/>
      <c r="AA604" s="49">
        <v>0</v>
      </c>
      <c r="AB604" s="49"/>
      <c r="AC604" s="49">
        <v>0</v>
      </c>
      <c r="AD604" s="49"/>
      <c r="AE604" s="49">
        <v>0</v>
      </c>
      <c r="AF604" s="49"/>
      <c r="AG604" s="49">
        <v>0</v>
      </c>
      <c r="AH604" s="49"/>
      <c r="AI604" s="49">
        <f t="shared" si="27"/>
        <v>162693.42999999996</v>
      </c>
      <c r="AK604" s="6" t="str">
        <f>'Gen Rev'!A604</f>
        <v>Tontogany</v>
      </c>
      <c r="AL604" s="6" t="str">
        <f t="shared" si="25"/>
        <v>Tontogany</v>
      </c>
      <c r="AM604" s="6" t="b">
        <f t="shared" si="26"/>
        <v>1</v>
      </c>
    </row>
    <row r="605" spans="1:39" x14ac:dyDescent="0.2">
      <c r="A605" s="6" t="s">
        <v>814</v>
      </c>
      <c r="C605" s="6" t="s">
        <v>253</v>
      </c>
      <c r="E605" s="49">
        <v>33166</v>
      </c>
      <c r="F605" s="49"/>
      <c r="G605" s="49">
        <v>0</v>
      </c>
      <c r="H605" s="49"/>
      <c r="I605" s="49">
        <v>38331</v>
      </c>
      <c r="J605" s="49"/>
      <c r="K605" s="49">
        <v>0</v>
      </c>
      <c r="L605" s="49"/>
      <c r="M605" s="49">
        <v>0</v>
      </c>
      <c r="N605" s="49"/>
      <c r="O605" s="49">
        <v>13677</v>
      </c>
      <c r="P605" s="49"/>
      <c r="Q605" s="49">
        <v>5</v>
      </c>
      <c r="R605" s="49"/>
      <c r="S605" s="49">
        <v>3478</v>
      </c>
      <c r="T605" s="49"/>
      <c r="U605" s="49">
        <v>0</v>
      </c>
      <c r="V605" s="49"/>
      <c r="W605" s="49">
        <v>0</v>
      </c>
      <c r="X605" s="49"/>
      <c r="Y605" s="49">
        <v>0</v>
      </c>
      <c r="Z605" s="49"/>
      <c r="AA605" s="49">
        <v>1014</v>
      </c>
      <c r="AB605" s="49"/>
      <c r="AC605" s="49">
        <v>0</v>
      </c>
      <c r="AD605" s="49"/>
      <c r="AE605" s="49">
        <v>0</v>
      </c>
      <c r="AF605" s="49"/>
      <c r="AG605" s="49">
        <v>0</v>
      </c>
      <c r="AH605" s="49"/>
      <c r="AI605" s="49">
        <f t="shared" si="27"/>
        <v>89671</v>
      </c>
      <c r="AK605" s="6" t="str">
        <f>'Gen Rev'!A605</f>
        <v>Trimble</v>
      </c>
      <c r="AL605" s="6" t="str">
        <f t="shared" si="25"/>
        <v>Trimble</v>
      </c>
      <c r="AM605" s="6" t="b">
        <f t="shared" si="26"/>
        <v>1</v>
      </c>
    </row>
    <row r="606" spans="1:39" x14ac:dyDescent="0.2">
      <c r="A606" s="6" t="s">
        <v>521</v>
      </c>
      <c r="C606" s="6" t="s">
        <v>521</v>
      </c>
      <c r="E606" s="49">
        <v>115524.2</v>
      </c>
      <c r="F606" s="49"/>
      <c r="G606" s="49">
        <v>67886.64</v>
      </c>
      <c r="H606" s="49"/>
      <c r="I606" s="49">
        <v>64968.45</v>
      </c>
      <c r="J606" s="49"/>
      <c r="K606" s="49">
        <v>20251.7</v>
      </c>
      <c r="L606" s="49"/>
      <c r="M606" s="49">
        <v>59461.86</v>
      </c>
      <c r="N606" s="49"/>
      <c r="O606" s="49">
        <v>1687.01</v>
      </c>
      <c r="P606" s="49"/>
      <c r="Q606" s="49">
        <v>1058.6199999999999</v>
      </c>
      <c r="R606" s="49"/>
      <c r="S606" s="49">
        <v>20927.71</v>
      </c>
      <c r="T606" s="49"/>
      <c r="U606" s="49">
        <v>0</v>
      </c>
      <c r="V606" s="49"/>
      <c r="W606" s="49">
        <v>0</v>
      </c>
      <c r="X606" s="49"/>
      <c r="Y606" s="49">
        <v>0</v>
      </c>
      <c r="Z606" s="49"/>
      <c r="AA606" s="49">
        <v>0</v>
      </c>
      <c r="AB606" s="49"/>
      <c r="AC606" s="49">
        <v>0</v>
      </c>
      <c r="AD606" s="49"/>
      <c r="AE606" s="49">
        <v>9548</v>
      </c>
      <c r="AF606" s="49"/>
      <c r="AG606" s="49">
        <v>0</v>
      </c>
      <c r="AH606" s="49"/>
      <c r="AI606" s="49">
        <f t="shared" si="27"/>
        <v>361314.19</v>
      </c>
      <c r="AK606" s="6" t="str">
        <f>'Gen Rev'!A606</f>
        <v>Tuscarawas</v>
      </c>
      <c r="AL606" s="6" t="str">
        <f t="shared" si="25"/>
        <v>Tuscarawas</v>
      </c>
      <c r="AM606" s="6" t="b">
        <f t="shared" si="26"/>
        <v>1</v>
      </c>
    </row>
    <row r="607" spans="1:39" x14ac:dyDescent="0.2">
      <c r="A607" s="6" t="s">
        <v>314</v>
      </c>
      <c r="C607" s="6" t="s">
        <v>306</v>
      </c>
      <c r="E607" s="49">
        <v>170592</v>
      </c>
      <c r="F607" s="49"/>
      <c r="G607" s="49">
        <v>201702</v>
      </c>
      <c r="H607" s="49"/>
      <c r="I607" s="49">
        <v>97661</v>
      </c>
      <c r="J607" s="49"/>
      <c r="K607" s="49">
        <v>0</v>
      </c>
      <c r="L607" s="49"/>
      <c r="M607" s="49">
        <v>525717</v>
      </c>
      <c r="N607" s="49"/>
      <c r="O607" s="49">
        <v>43647</v>
      </c>
      <c r="P607" s="49"/>
      <c r="Q607" s="49">
        <v>858</v>
      </c>
      <c r="R607" s="49"/>
      <c r="S607" s="49">
        <v>11944</v>
      </c>
      <c r="T607" s="49"/>
      <c r="U607" s="49">
        <v>0</v>
      </c>
      <c r="V607" s="49"/>
      <c r="W607" s="49">
        <v>0</v>
      </c>
      <c r="X607" s="49"/>
      <c r="Y607" s="49">
        <v>0</v>
      </c>
      <c r="Z607" s="49"/>
      <c r="AA607" s="49">
        <v>98997</v>
      </c>
      <c r="AB607" s="49"/>
      <c r="AC607" s="49">
        <v>0</v>
      </c>
      <c r="AD607" s="49"/>
      <c r="AE607" s="49">
        <v>0</v>
      </c>
      <c r="AF607" s="49"/>
      <c r="AG607" s="49">
        <v>0</v>
      </c>
      <c r="AH607" s="49"/>
      <c r="AI607" s="49">
        <f t="shared" si="27"/>
        <v>1151118</v>
      </c>
      <c r="AK607" s="6" t="str">
        <f>'Gen Rev'!A607</f>
        <v>Union City</v>
      </c>
      <c r="AL607" s="6" t="str">
        <f t="shared" si="25"/>
        <v>Union City</v>
      </c>
      <c r="AM607" s="6" t="b">
        <f t="shared" si="26"/>
        <v>1</v>
      </c>
    </row>
    <row r="608" spans="1:39" x14ac:dyDescent="0.2">
      <c r="A608" s="6" t="s">
        <v>530</v>
      </c>
      <c r="C608" s="6" t="s">
        <v>531</v>
      </c>
      <c r="E608" s="49">
        <v>7801.38</v>
      </c>
      <c r="F608" s="49"/>
      <c r="G608" s="49">
        <v>0</v>
      </c>
      <c r="H608" s="49"/>
      <c r="I608" s="49">
        <v>19669.78</v>
      </c>
      <c r="J608" s="49"/>
      <c r="K608" s="49">
        <v>0</v>
      </c>
      <c r="L608" s="49"/>
      <c r="M608" s="49">
        <v>320</v>
      </c>
      <c r="N608" s="49"/>
      <c r="O608" s="49">
        <v>1556</v>
      </c>
      <c r="P608" s="49"/>
      <c r="Q608" s="49">
        <v>6.03</v>
      </c>
      <c r="R608" s="49"/>
      <c r="S608" s="49">
        <v>127.51</v>
      </c>
      <c r="T608" s="49"/>
      <c r="U608" s="49">
        <v>0</v>
      </c>
      <c r="V608" s="49"/>
      <c r="W608" s="49">
        <v>0</v>
      </c>
      <c r="X608" s="49"/>
      <c r="Y608" s="49">
        <v>0</v>
      </c>
      <c r="Z608" s="49"/>
      <c r="AA608" s="49">
        <v>0</v>
      </c>
      <c r="AB608" s="49"/>
      <c r="AC608" s="49">
        <v>0</v>
      </c>
      <c r="AD608" s="49"/>
      <c r="AE608" s="49">
        <v>0</v>
      </c>
      <c r="AF608" s="49"/>
      <c r="AG608" s="49">
        <v>0</v>
      </c>
      <c r="AH608" s="49"/>
      <c r="AI608" s="49">
        <f t="shared" si="27"/>
        <v>29480.699999999997</v>
      </c>
      <c r="AK608" s="6" t="str">
        <f>'Gen Rev'!A608</f>
        <v>Unionville Center</v>
      </c>
      <c r="AL608" s="6" t="str">
        <f t="shared" ref="AL608:AL674" si="28">A608</f>
        <v>Unionville Center</v>
      </c>
      <c r="AM608" s="6" t="b">
        <f t="shared" ref="AM608:AM674" si="29">AK608=AL608</f>
        <v>1</v>
      </c>
    </row>
    <row r="609" spans="1:39" x14ac:dyDescent="0.2"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</row>
    <row r="610" spans="1:39" ht="12.75" x14ac:dyDescent="0.2"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88" t="s">
        <v>733</v>
      </c>
    </row>
    <row r="611" spans="1:39" x14ac:dyDescent="0.2"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</row>
    <row r="612" spans="1:39" x14ac:dyDescent="0.2">
      <c r="A612" s="6" t="s">
        <v>13</v>
      </c>
      <c r="C612" s="6" t="s">
        <v>257</v>
      </c>
      <c r="E612" s="52">
        <v>5820.91</v>
      </c>
      <c r="F612" s="52"/>
      <c r="G612" s="52">
        <v>0</v>
      </c>
      <c r="H612" s="52"/>
      <c r="I612" s="52">
        <v>45656.51</v>
      </c>
      <c r="J612" s="52"/>
      <c r="K612" s="52">
        <v>0</v>
      </c>
      <c r="L612" s="52"/>
      <c r="M612" s="52">
        <v>0</v>
      </c>
      <c r="N612" s="52"/>
      <c r="O612" s="52">
        <v>0</v>
      </c>
      <c r="P612" s="52"/>
      <c r="Q612" s="52">
        <v>51.55</v>
      </c>
      <c r="R612" s="52"/>
      <c r="S612" s="52">
        <v>1123.8499999999999</v>
      </c>
      <c r="T612" s="52"/>
      <c r="U612" s="52">
        <v>0</v>
      </c>
      <c r="V612" s="52"/>
      <c r="W612" s="52">
        <v>0</v>
      </c>
      <c r="X612" s="52"/>
      <c r="Y612" s="52">
        <v>0</v>
      </c>
      <c r="Z612" s="52"/>
      <c r="AA612" s="52">
        <v>0</v>
      </c>
      <c r="AB612" s="52"/>
      <c r="AC612" s="52">
        <v>0</v>
      </c>
      <c r="AD612" s="52"/>
      <c r="AE612" s="52">
        <v>0</v>
      </c>
      <c r="AF612" s="52"/>
      <c r="AG612" s="52">
        <v>0</v>
      </c>
      <c r="AH612" s="49"/>
      <c r="AI612" s="52">
        <f t="shared" si="27"/>
        <v>52652.82</v>
      </c>
      <c r="AK612" s="6" t="str">
        <f>'Gen Rev'!A612</f>
        <v>Uniopolis</v>
      </c>
      <c r="AL612" s="6" t="str">
        <f t="shared" si="28"/>
        <v>Uniopolis</v>
      </c>
      <c r="AM612" s="6" t="b">
        <f t="shared" si="29"/>
        <v>1</v>
      </c>
    </row>
    <row r="613" spans="1:39" x14ac:dyDescent="0.2">
      <c r="A613" s="6" t="s">
        <v>71</v>
      </c>
      <c r="C613" s="6" t="s">
        <v>329</v>
      </c>
      <c r="E613" s="49">
        <v>9238.85</v>
      </c>
      <c r="F613" s="49"/>
      <c r="G613" s="49">
        <v>987969.77</v>
      </c>
      <c r="H613" s="49"/>
      <c r="I613" s="49">
        <v>118025.28</v>
      </c>
      <c r="J613" s="49"/>
      <c r="K613" s="49">
        <v>0</v>
      </c>
      <c r="L613" s="49"/>
      <c r="M613" s="49">
        <v>0</v>
      </c>
      <c r="N613" s="49"/>
      <c r="O613" s="49">
        <v>39309.99</v>
      </c>
      <c r="P613" s="49"/>
      <c r="Q613" s="49">
        <v>330.54</v>
      </c>
      <c r="R613" s="49"/>
      <c r="S613" s="49">
        <v>4688.63</v>
      </c>
      <c r="T613" s="49"/>
      <c r="U613" s="49">
        <v>0</v>
      </c>
      <c r="V613" s="49"/>
      <c r="W613" s="49">
        <v>0</v>
      </c>
      <c r="X613" s="49"/>
      <c r="Y613" s="49">
        <v>0</v>
      </c>
      <c r="Z613" s="49"/>
      <c r="AA613" s="49">
        <v>77891.12</v>
      </c>
      <c r="AB613" s="49"/>
      <c r="AC613" s="49">
        <v>0</v>
      </c>
      <c r="AD613" s="49"/>
      <c r="AE613" s="49">
        <v>0</v>
      </c>
      <c r="AF613" s="49"/>
      <c r="AG613" s="49">
        <v>0</v>
      </c>
      <c r="AH613" s="49"/>
      <c r="AI613" s="49">
        <f t="shared" ref="AI613:AI679" si="30">SUM(E613:AG613)</f>
        <v>1237454.1799999997</v>
      </c>
      <c r="AK613" s="6" t="str">
        <f>'Gen Rev'!A613</f>
        <v>Urbancrest</v>
      </c>
      <c r="AL613" s="6" t="str">
        <f t="shared" si="28"/>
        <v>Urbancrest</v>
      </c>
      <c r="AM613" s="6" t="b">
        <f t="shared" si="29"/>
        <v>1</v>
      </c>
    </row>
    <row r="614" spans="1:39" x14ac:dyDescent="0.2">
      <c r="A614" s="6" t="s">
        <v>413</v>
      </c>
      <c r="C614" s="6" t="s">
        <v>408</v>
      </c>
      <c r="E614" s="49">
        <v>73124</v>
      </c>
      <c r="F614" s="49"/>
      <c r="G614" s="49">
        <f>451723+75313</f>
        <v>527036</v>
      </c>
      <c r="H614" s="49"/>
      <c r="I614" s="49">
        <f>55266+90852</f>
        <v>146118</v>
      </c>
      <c r="J614" s="49"/>
      <c r="K614" s="49">
        <v>0</v>
      </c>
      <c r="L614" s="49"/>
      <c r="M614" s="49">
        <f>955+14075+132205</f>
        <v>147235</v>
      </c>
      <c r="N614" s="49"/>
      <c r="O614" s="49">
        <f>21890+905</f>
        <v>22795</v>
      </c>
      <c r="P614" s="49"/>
      <c r="Q614" s="49">
        <v>2591</v>
      </c>
      <c r="R614" s="49"/>
      <c r="S614" s="49">
        <f>35826+3292</f>
        <v>39118</v>
      </c>
      <c r="T614" s="49"/>
      <c r="U614" s="49">
        <v>0</v>
      </c>
      <c r="V614" s="49"/>
      <c r="W614" s="49">
        <v>0</v>
      </c>
      <c r="X614" s="49"/>
      <c r="Y614" s="49">
        <v>0</v>
      </c>
      <c r="Z614" s="49"/>
      <c r="AA614" s="49">
        <v>0</v>
      </c>
      <c r="AB614" s="49"/>
      <c r="AC614" s="49">
        <v>0</v>
      </c>
      <c r="AD614" s="49"/>
      <c r="AE614" s="49">
        <v>0</v>
      </c>
      <c r="AF614" s="49"/>
      <c r="AG614" s="49">
        <v>0</v>
      </c>
      <c r="AH614" s="49"/>
      <c r="AI614" s="49">
        <f t="shared" si="30"/>
        <v>958017</v>
      </c>
      <c r="AK614" s="6" t="str">
        <f>'Gen Rev'!A614</f>
        <v>Utica</v>
      </c>
      <c r="AL614" s="6" t="str">
        <f t="shared" si="28"/>
        <v>Utica</v>
      </c>
      <c r="AM614" s="6" t="b">
        <f t="shared" si="29"/>
        <v>1</v>
      </c>
    </row>
    <row r="615" spans="1:39" x14ac:dyDescent="0.2">
      <c r="A615" s="6" t="s">
        <v>416</v>
      </c>
      <c r="C615" s="6" t="s">
        <v>414</v>
      </c>
      <c r="E615" s="49">
        <v>3483</v>
      </c>
      <c r="F615" s="49"/>
      <c r="G615" s="49">
        <v>33575</v>
      </c>
      <c r="H615" s="49"/>
      <c r="I615" s="49">
        <v>14719</v>
      </c>
      <c r="J615" s="49"/>
      <c r="K615" s="49">
        <v>0</v>
      </c>
      <c r="L615" s="49"/>
      <c r="M615" s="49">
        <v>0</v>
      </c>
      <c r="N615" s="49"/>
      <c r="O615" s="49">
        <v>1207</v>
      </c>
      <c r="P615" s="49"/>
      <c r="Q615" s="49">
        <v>79</v>
      </c>
      <c r="R615" s="49"/>
      <c r="S615" s="49">
        <v>0</v>
      </c>
      <c r="T615" s="49"/>
      <c r="U615" s="49">
        <v>0</v>
      </c>
      <c r="V615" s="49"/>
      <c r="W615" s="49">
        <v>0</v>
      </c>
      <c r="X615" s="49"/>
      <c r="Y615" s="49">
        <v>0</v>
      </c>
      <c r="Z615" s="49"/>
      <c r="AA615" s="49">
        <v>0</v>
      </c>
      <c r="AB615" s="49"/>
      <c r="AC615" s="49">
        <v>0</v>
      </c>
      <c r="AD615" s="49"/>
      <c r="AE615" s="49">
        <v>0</v>
      </c>
      <c r="AF615" s="49"/>
      <c r="AG615" s="49">
        <v>0</v>
      </c>
      <c r="AH615" s="49"/>
      <c r="AI615" s="49">
        <f t="shared" si="30"/>
        <v>53063</v>
      </c>
      <c r="AK615" s="6" t="str">
        <f>'Gen Rev'!A615</f>
        <v>Valley Hi</v>
      </c>
      <c r="AL615" s="6" t="str">
        <f t="shared" si="28"/>
        <v>Valley Hi</v>
      </c>
      <c r="AM615" s="6" t="b">
        <f t="shared" si="29"/>
        <v>1</v>
      </c>
    </row>
    <row r="616" spans="1:39" x14ac:dyDescent="0.2">
      <c r="A616" s="6" t="s">
        <v>303</v>
      </c>
      <c r="C616" s="6" t="s">
        <v>293</v>
      </c>
      <c r="E616" s="49">
        <v>2816009</v>
      </c>
      <c r="F616" s="49"/>
      <c r="G616" s="49">
        <v>12256175</v>
      </c>
      <c r="H616" s="49"/>
      <c r="I616" s="49">
        <v>498478</v>
      </c>
      <c r="J616" s="49"/>
      <c r="K616" s="49">
        <v>140271</v>
      </c>
      <c r="L616" s="49"/>
      <c r="M616" s="49">
        <v>188323</v>
      </c>
      <c r="N616" s="49"/>
      <c r="O616" s="49">
        <v>180319</v>
      </c>
      <c r="P616" s="49"/>
      <c r="Q616" s="49">
        <v>5028</v>
      </c>
      <c r="R616" s="49"/>
      <c r="S616" s="49">
        <v>142683</v>
      </c>
      <c r="T616" s="49"/>
      <c r="U616" s="49">
        <v>0</v>
      </c>
      <c r="V616" s="49"/>
      <c r="W616" s="49">
        <v>0</v>
      </c>
      <c r="X616" s="49"/>
      <c r="Y616" s="49">
        <v>0</v>
      </c>
      <c r="Z616" s="49"/>
      <c r="AA616" s="49">
        <v>900100</v>
      </c>
      <c r="AB616" s="49"/>
      <c r="AC616" s="49">
        <v>252109</v>
      </c>
      <c r="AD616" s="49"/>
      <c r="AE616" s="49">
        <v>0</v>
      </c>
      <c r="AF616" s="49"/>
      <c r="AG616" s="49">
        <v>0</v>
      </c>
      <c r="AH616" s="49"/>
      <c r="AI616" s="49">
        <f t="shared" si="30"/>
        <v>17379495</v>
      </c>
      <c r="AK616" s="6" t="str">
        <f>'Gen Rev'!A616</f>
        <v>Valley View</v>
      </c>
      <c r="AL616" s="6" t="str">
        <f t="shared" si="28"/>
        <v>Valley View</v>
      </c>
      <c r="AM616" s="6" t="b">
        <f t="shared" si="29"/>
        <v>1</v>
      </c>
    </row>
    <row r="617" spans="1:39" x14ac:dyDescent="0.2">
      <c r="A617" s="6" t="s">
        <v>72</v>
      </c>
      <c r="C617" s="6" t="s">
        <v>329</v>
      </c>
      <c r="E617" s="49">
        <v>138785.5</v>
      </c>
      <c r="F617" s="49"/>
      <c r="G617" s="49">
        <v>73302.03</v>
      </c>
      <c r="H617" s="49"/>
      <c r="I617" s="49">
        <v>115252.9</v>
      </c>
      <c r="J617" s="49"/>
      <c r="K617" s="49">
        <v>0</v>
      </c>
      <c r="L617" s="49"/>
      <c r="M617" s="49">
        <v>0</v>
      </c>
      <c r="N617" s="49"/>
      <c r="O617" s="49">
        <v>34773.07</v>
      </c>
      <c r="P617" s="49"/>
      <c r="Q617" s="49">
        <v>28.49</v>
      </c>
      <c r="R617" s="49"/>
      <c r="S617" s="49">
        <v>3696.15</v>
      </c>
      <c r="T617" s="49"/>
      <c r="U617" s="49">
        <v>0</v>
      </c>
      <c r="V617" s="49"/>
      <c r="W617" s="49">
        <v>0</v>
      </c>
      <c r="X617" s="49"/>
      <c r="Y617" s="49">
        <v>0</v>
      </c>
      <c r="Z617" s="49"/>
      <c r="AA617" s="49">
        <v>16000</v>
      </c>
      <c r="AB617" s="49"/>
      <c r="AC617" s="49">
        <v>0</v>
      </c>
      <c r="AD617" s="49"/>
      <c r="AE617" s="49">
        <v>1559.15</v>
      </c>
      <c r="AF617" s="49"/>
      <c r="AG617" s="49">
        <v>0</v>
      </c>
      <c r="AH617" s="49"/>
      <c r="AI617" s="49">
        <f t="shared" si="30"/>
        <v>383397.29000000004</v>
      </c>
      <c r="AK617" s="6" t="str">
        <f>'Gen Rev'!A617</f>
        <v>Valleyview</v>
      </c>
      <c r="AL617" s="6" t="str">
        <f t="shared" si="28"/>
        <v>Valleyview</v>
      </c>
      <c r="AM617" s="6" t="b">
        <f t="shared" si="29"/>
        <v>1</v>
      </c>
    </row>
    <row r="618" spans="1:39" x14ac:dyDescent="0.2">
      <c r="A618" s="6" t="s">
        <v>363</v>
      </c>
      <c r="C618" s="6" t="s">
        <v>360</v>
      </c>
      <c r="E618" s="49">
        <v>23079.41</v>
      </c>
      <c r="F618" s="49"/>
      <c r="G618" s="49">
        <v>0</v>
      </c>
      <c r="H618" s="49"/>
      <c r="I618" s="49">
        <v>74400.52</v>
      </c>
      <c r="J618" s="49"/>
      <c r="K618" s="49">
        <v>169274.15</v>
      </c>
      <c r="L618" s="49"/>
      <c r="M618" s="49">
        <v>4090</v>
      </c>
      <c r="N618" s="49"/>
      <c r="O618" s="49">
        <v>451</v>
      </c>
      <c r="P618" s="49"/>
      <c r="Q618" s="49">
        <v>46.99</v>
      </c>
      <c r="R618" s="49"/>
      <c r="S618" s="49">
        <v>5742.03</v>
      </c>
      <c r="T618" s="49"/>
      <c r="U618" s="49">
        <v>0</v>
      </c>
      <c r="V618" s="49"/>
      <c r="W618" s="49">
        <v>0</v>
      </c>
      <c r="X618" s="49"/>
      <c r="Y618" s="49">
        <v>0</v>
      </c>
      <c r="Z618" s="49"/>
      <c r="AA618" s="49">
        <v>0</v>
      </c>
      <c r="AB618" s="49"/>
      <c r="AC618" s="49">
        <v>0</v>
      </c>
      <c r="AD618" s="49"/>
      <c r="AE618" s="49">
        <v>0</v>
      </c>
      <c r="AF618" s="49"/>
      <c r="AG618" s="49">
        <v>0</v>
      </c>
      <c r="AH618" s="49"/>
      <c r="AI618" s="49">
        <f t="shared" si="30"/>
        <v>277084.10000000003</v>
      </c>
      <c r="AK618" s="6" t="str">
        <f>'Gen Rev'!A618</f>
        <v>Van Buren</v>
      </c>
      <c r="AL618" s="6" t="str">
        <f t="shared" si="28"/>
        <v>Van Buren</v>
      </c>
      <c r="AM618" s="6" t="b">
        <f t="shared" si="29"/>
        <v>1</v>
      </c>
    </row>
    <row r="619" spans="1:39" x14ac:dyDescent="0.2">
      <c r="A619" s="6" t="s">
        <v>364</v>
      </c>
      <c r="C619" s="6" t="s">
        <v>360</v>
      </c>
      <c r="E619" s="49">
        <v>23087.9</v>
      </c>
      <c r="F619" s="49"/>
      <c r="G619" s="49">
        <v>0</v>
      </c>
      <c r="H619" s="49"/>
      <c r="I619" s="49">
        <v>51530.55</v>
      </c>
      <c r="J619" s="49"/>
      <c r="K619" s="49">
        <v>9329.91</v>
      </c>
      <c r="L619" s="49"/>
      <c r="M619" s="49">
        <v>0</v>
      </c>
      <c r="N619" s="49"/>
      <c r="O619" s="49">
        <v>250</v>
      </c>
      <c r="P619" s="49"/>
      <c r="Q619" s="49">
        <v>397.41</v>
      </c>
      <c r="R619" s="49"/>
      <c r="S619" s="49">
        <v>396.76</v>
      </c>
      <c r="T619" s="49"/>
      <c r="U619" s="49">
        <v>0</v>
      </c>
      <c r="V619" s="49"/>
      <c r="W619" s="49">
        <v>0</v>
      </c>
      <c r="X619" s="49"/>
      <c r="Y619" s="49">
        <v>0</v>
      </c>
      <c r="Z619" s="49"/>
      <c r="AA619" s="49">
        <v>0</v>
      </c>
      <c r="AB619" s="49"/>
      <c r="AC619" s="49">
        <v>0</v>
      </c>
      <c r="AD619" s="49"/>
      <c r="AE619" s="49">
        <v>0</v>
      </c>
      <c r="AF619" s="49"/>
      <c r="AG619" s="49">
        <v>0</v>
      </c>
      <c r="AH619" s="49"/>
      <c r="AI619" s="49">
        <f t="shared" si="30"/>
        <v>84992.530000000013</v>
      </c>
      <c r="AK619" s="6" t="str">
        <f>'Gen Rev'!A619</f>
        <v>Vanlue</v>
      </c>
      <c r="AL619" s="6" t="str">
        <f t="shared" si="28"/>
        <v>Vanlue</v>
      </c>
      <c r="AM619" s="6" t="b">
        <f t="shared" si="29"/>
        <v>1</v>
      </c>
    </row>
    <row r="620" spans="1:39" x14ac:dyDescent="0.2">
      <c r="A620" s="6" t="s">
        <v>535</v>
      </c>
      <c r="C620" s="6" t="s">
        <v>532</v>
      </c>
      <c r="E620" s="49">
        <v>4898.78</v>
      </c>
      <c r="F620" s="49"/>
      <c r="G620" s="49">
        <v>0</v>
      </c>
      <c r="H620" s="49"/>
      <c r="I620" s="49">
        <v>15255.58</v>
      </c>
      <c r="J620" s="49"/>
      <c r="K620" s="49">
        <v>0</v>
      </c>
      <c r="L620" s="49"/>
      <c r="M620" s="49">
        <v>0</v>
      </c>
      <c r="N620" s="49"/>
      <c r="O620" s="49">
        <v>0</v>
      </c>
      <c r="P620" s="49"/>
      <c r="Q620" s="49">
        <v>27.38</v>
      </c>
      <c r="R620" s="49"/>
      <c r="S620" s="49">
        <v>500</v>
      </c>
      <c r="T620" s="49"/>
      <c r="U620" s="49">
        <v>0</v>
      </c>
      <c r="V620" s="49"/>
      <c r="W620" s="49">
        <v>0</v>
      </c>
      <c r="X620" s="49"/>
      <c r="Y620" s="49">
        <v>0</v>
      </c>
      <c r="Z620" s="49"/>
      <c r="AA620" s="49">
        <v>0</v>
      </c>
      <c r="AB620" s="49"/>
      <c r="AC620" s="49">
        <v>0</v>
      </c>
      <c r="AD620" s="49"/>
      <c r="AE620" s="49">
        <v>0</v>
      </c>
      <c r="AF620" s="49"/>
      <c r="AG620" s="49">
        <v>0</v>
      </c>
      <c r="AH620" s="49"/>
      <c r="AI620" s="49">
        <f t="shared" si="30"/>
        <v>20681.740000000002</v>
      </c>
      <c r="AK620" s="6" t="str">
        <f>'Gen Rev'!A620</f>
        <v>Venedocia</v>
      </c>
      <c r="AL620" s="6" t="str">
        <f t="shared" si="28"/>
        <v>Venedocia</v>
      </c>
      <c r="AM620" s="6" t="b">
        <f t="shared" si="29"/>
        <v>1</v>
      </c>
    </row>
    <row r="621" spans="1:39" x14ac:dyDescent="0.2">
      <c r="A621" s="6" t="s">
        <v>474</v>
      </c>
      <c r="C621" s="6" t="s">
        <v>472</v>
      </c>
      <c r="E621" s="49">
        <v>117085</v>
      </c>
      <c r="F621" s="49"/>
      <c r="G621" s="49">
        <v>0</v>
      </c>
      <c r="H621" s="49"/>
      <c r="I621" s="49">
        <v>12097</v>
      </c>
      <c r="J621" s="49"/>
      <c r="K621" s="49">
        <v>257</v>
      </c>
      <c r="L621" s="49"/>
      <c r="M621" s="49">
        <v>541605</v>
      </c>
      <c r="N621" s="49"/>
      <c r="O621" s="49">
        <v>1435</v>
      </c>
      <c r="P621" s="49"/>
      <c r="Q621" s="49">
        <v>393</v>
      </c>
      <c r="R621" s="49"/>
      <c r="S621" s="49">
        <v>263913</v>
      </c>
      <c r="T621" s="49"/>
      <c r="U621" s="49">
        <v>0</v>
      </c>
      <c r="V621" s="49"/>
      <c r="W621" s="49">
        <v>0</v>
      </c>
      <c r="X621" s="49"/>
      <c r="Y621" s="49">
        <v>0</v>
      </c>
      <c r="Z621" s="49"/>
      <c r="AA621" s="49">
        <v>100592</v>
      </c>
      <c r="AB621" s="49"/>
      <c r="AC621" s="49">
        <v>0</v>
      </c>
      <c r="AD621" s="49"/>
      <c r="AE621" s="49">
        <v>0</v>
      </c>
      <c r="AF621" s="49"/>
      <c r="AG621" s="49">
        <v>0</v>
      </c>
      <c r="AH621" s="49"/>
      <c r="AI621" s="49">
        <f t="shared" si="30"/>
        <v>1037377</v>
      </c>
      <c r="AK621" s="6" t="str">
        <f>'Gen Rev'!A621</f>
        <v>Verona</v>
      </c>
      <c r="AL621" s="6" t="str">
        <f t="shared" si="28"/>
        <v>Verona</v>
      </c>
      <c r="AM621" s="6" t="b">
        <f t="shared" si="29"/>
        <v>1</v>
      </c>
    </row>
    <row r="622" spans="1:39" x14ac:dyDescent="0.2">
      <c r="A622" s="6" t="s">
        <v>315</v>
      </c>
      <c r="C622" s="6" t="s">
        <v>306</v>
      </c>
      <c r="E622" s="49">
        <v>158754</v>
      </c>
      <c r="F622" s="49"/>
      <c r="G622" s="49">
        <v>2260246</v>
      </c>
      <c r="H622" s="49"/>
      <c r="I622" s="49">
        <v>1668359</v>
      </c>
      <c r="J622" s="49"/>
      <c r="K622" s="49">
        <v>32293</v>
      </c>
      <c r="L622" s="49"/>
      <c r="M622" s="49">
        <v>262930</v>
      </c>
      <c r="N622" s="49"/>
      <c r="O622" s="49">
        <v>15562</v>
      </c>
      <c r="P622" s="49"/>
      <c r="Q622" s="49">
        <v>27503</v>
      </c>
      <c r="R622" s="49"/>
      <c r="S622" s="49">
        <v>74791</v>
      </c>
      <c r="T622" s="49"/>
      <c r="U622" s="49">
        <v>0</v>
      </c>
      <c r="V622" s="49"/>
      <c r="W622" s="49">
        <v>0</v>
      </c>
      <c r="X622" s="49"/>
      <c r="Y622" s="49">
        <v>0</v>
      </c>
      <c r="Z622" s="49"/>
      <c r="AA622" s="49">
        <v>1099055</v>
      </c>
      <c r="AB622" s="49"/>
      <c r="AC622" s="49">
        <v>450000</v>
      </c>
      <c r="AD622" s="49"/>
      <c r="AE622" s="49">
        <v>0</v>
      </c>
      <c r="AF622" s="49"/>
      <c r="AG622" s="49">
        <v>0</v>
      </c>
      <c r="AH622" s="49"/>
      <c r="AI622" s="49">
        <f t="shared" si="30"/>
        <v>6049493</v>
      </c>
      <c r="AK622" s="6" t="str">
        <f>'Gen Rev'!A622</f>
        <v>Versailles</v>
      </c>
      <c r="AL622" s="6" t="str">
        <f t="shared" si="28"/>
        <v>Versailles</v>
      </c>
      <c r="AM622" s="6" t="b">
        <f t="shared" si="29"/>
        <v>1</v>
      </c>
    </row>
    <row r="623" spans="1:39" x14ac:dyDescent="0.2">
      <c r="A623" s="6" t="s">
        <v>77</v>
      </c>
      <c r="C623" s="6" t="s">
        <v>338</v>
      </c>
      <c r="E623" s="49">
        <v>13991.96</v>
      </c>
      <c r="F623" s="49"/>
      <c r="G623" s="49">
        <v>0</v>
      </c>
      <c r="H623" s="49"/>
      <c r="I623" s="49">
        <v>57676.25</v>
      </c>
      <c r="J623" s="49"/>
      <c r="K623" s="49">
        <v>0</v>
      </c>
      <c r="L623" s="49"/>
      <c r="M623" s="49">
        <v>14579</v>
      </c>
      <c r="N623" s="49"/>
      <c r="O623" s="49">
        <v>1013</v>
      </c>
      <c r="P623" s="49"/>
      <c r="Q623" s="49">
        <v>0</v>
      </c>
      <c r="R623" s="49"/>
      <c r="S623" s="49">
        <v>18585.310000000001</v>
      </c>
      <c r="T623" s="49"/>
      <c r="U623" s="49">
        <v>0</v>
      </c>
      <c r="V623" s="49"/>
      <c r="W623" s="49">
        <v>0</v>
      </c>
      <c r="X623" s="49"/>
      <c r="Y623" s="49">
        <v>0</v>
      </c>
      <c r="Z623" s="49"/>
      <c r="AA623" s="49">
        <v>0</v>
      </c>
      <c r="AB623" s="49"/>
      <c r="AC623" s="49">
        <v>0</v>
      </c>
      <c r="AD623" s="49"/>
      <c r="AE623" s="49">
        <v>0</v>
      </c>
      <c r="AF623" s="49"/>
      <c r="AG623" s="49">
        <v>0</v>
      </c>
      <c r="AH623" s="49"/>
      <c r="AI623" s="49">
        <f t="shared" si="30"/>
        <v>105845.51999999999</v>
      </c>
      <c r="AK623" s="6" t="str">
        <f>'Gen Rev'!A623</f>
        <v>Vinton</v>
      </c>
      <c r="AL623" s="6" t="str">
        <f t="shared" si="28"/>
        <v>Vinton</v>
      </c>
      <c r="AM623" s="6" t="b">
        <f t="shared" si="29"/>
        <v>1</v>
      </c>
    </row>
    <row r="624" spans="1:39" x14ac:dyDescent="0.2">
      <c r="A624" s="6" t="s">
        <v>404</v>
      </c>
      <c r="C624" s="6" t="s">
        <v>399</v>
      </c>
      <c r="E624" s="49">
        <v>626648</v>
      </c>
      <c r="F624" s="49"/>
      <c r="G624" s="49">
        <v>0</v>
      </c>
      <c r="H624" s="49"/>
      <c r="I624" s="49">
        <v>223829</v>
      </c>
      <c r="J624" s="49"/>
      <c r="K624" s="49">
        <v>0</v>
      </c>
      <c r="L624" s="49"/>
      <c r="M624" s="49">
        <v>0</v>
      </c>
      <c r="N624" s="49"/>
      <c r="O624" s="49">
        <v>4974</v>
      </c>
      <c r="P624" s="49"/>
      <c r="Q624" s="49">
        <v>398270</v>
      </c>
      <c r="R624" s="49"/>
      <c r="S624" s="49">
        <v>141880</v>
      </c>
      <c r="T624" s="49"/>
      <c r="U624" s="49">
        <v>0</v>
      </c>
      <c r="V624" s="49"/>
      <c r="W624" s="49">
        <v>0</v>
      </c>
      <c r="X624" s="49"/>
      <c r="Y624" s="49">
        <v>0</v>
      </c>
      <c r="Z624" s="49"/>
      <c r="AA624" s="49">
        <v>60000</v>
      </c>
      <c r="AB624" s="49"/>
      <c r="AC624" s="49">
        <v>0</v>
      </c>
      <c r="AD624" s="49"/>
      <c r="AE624" s="49">
        <v>0</v>
      </c>
      <c r="AF624" s="49"/>
      <c r="AG624" s="49">
        <v>0</v>
      </c>
      <c r="AH624" s="49"/>
      <c r="AI624" s="49">
        <f t="shared" si="30"/>
        <v>1455601</v>
      </c>
      <c r="AK624" s="6" t="str">
        <f>'Gen Rev'!A624</f>
        <v>Waite Hill</v>
      </c>
      <c r="AL624" s="6" t="str">
        <f t="shared" si="28"/>
        <v>Waite Hill</v>
      </c>
      <c r="AM624" s="6" t="b">
        <f t="shared" si="29"/>
        <v>1</v>
      </c>
    </row>
    <row r="625" spans="1:39" x14ac:dyDescent="0.2">
      <c r="A625" s="6" t="s">
        <v>389</v>
      </c>
      <c r="C625" s="6" t="s">
        <v>386</v>
      </c>
      <c r="E625" s="49">
        <v>64412.35</v>
      </c>
      <c r="F625" s="49"/>
      <c r="G625" s="49">
        <v>162007.54999999999</v>
      </c>
      <c r="H625" s="49"/>
      <c r="I625" s="49">
        <v>126208.1</v>
      </c>
      <c r="J625" s="49"/>
      <c r="K625" s="49">
        <v>0</v>
      </c>
      <c r="L625" s="49"/>
      <c r="M625" s="49">
        <v>0</v>
      </c>
      <c r="N625" s="49"/>
      <c r="O625" s="49">
        <v>48562.37</v>
      </c>
      <c r="P625" s="49"/>
      <c r="Q625" s="49">
        <v>107.74</v>
      </c>
      <c r="R625" s="49"/>
      <c r="S625" s="49">
        <v>12862.53</v>
      </c>
      <c r="T625" s="49"/>
      <c r="U625" s="49">
        <v>0</v>
      </c>
      <c r="V625" s="49"/>
      <c r="W625" s="49">
        <v>0</v>
      </c>
      <c r="X625" s="49"/>
      <c r="Y625" s="49">
        <v>0</v>
      </c>
      <c r="Z625" s="49"/>
      <c r="AA625" s="49">
        <v>105100</v>
      </c>
      <c r="AB625" s="49"/>
      <c r="AC625" s="49">
        <v>0</v>
      </c>
      <c r="AD625" s="49"/>
      <c r="AE625" s="49">
        <v>161054.03</v>
      </c>
      <c r="AF625" s="49"/>
      <c r="AG625" s="49">
        <v>0</v>
      </c>
      <c r="AH625" s="49"/>
      <c r="AI625" s="49">
        <f t="shared" si="30"/>
        <v>680314.67</v>
      </c>
      <c r="AK625" s="6" t="str">
        <f>'Gen Rev'!A625</f>
        <v>Wakeman</v>
      </c>
      <c r="AL625" s="6" t="str">
        <f t="shared" si="28"/>
        <v>Wakeman</v>
      </c>
      <c r="AM625" s="6" t="b">
        <f t="shared" si="29"/>
        <v>1</v>
      </c>
    </row>
    <row r="626" spans="1:39" x14ac:dyDescent="0.2">
      <c r="A626" s="6" t="s">
        <v>243</v>
      </c>
      <c r="C626" s="6" t="s">
        <v>558</v>
      </c>
      <c r="E626" s="49">
        <v>69164.14</v>
      </c>
      <c r="F626" s="49"/>
      <c r="G626" s="49">
        <v>850694.91</v>
      </c>
      <c r="H626" s="49"/>
      <c r="I626" s="49">
        <v>267150.90000000002</v>
      </c>
      <c r="J626" s="49"/>
      <c r="K626" s="49">
        <v>31206.18</v>
      </c>
      <c r="L626" s="49"/>
      <c r="M626" s="49">
        <v>9926</v>
      </c>
      <c r="N626" s="49"/>
      <c r="O626" s="49">
        <v>38538.9</v>
      </c>
      <c r="P626" s="49"/>
      <c r="Q626" s="49">
        <v>10222.84</v>
      </c>
      <c r="R626" s="49"/>
      <c r="S626" s="49">
        <v>30331.439999999999</v>
      </c>
      <c r="T626" s="49"/>
      <c r="U626" s="49">
        <v>0</v>
      </c>
      <c r="V626" s="49"/>
      <c r="W626" s="49">
        <v>0</v>
      </c>
      <c r="X626" s="49"/>
      <c r="Y626" s="49">
        <v>0</v>
      </c>
      <c r="Z626" s="49"/>
      <c r="AA626" s="49">
        <v>0</v>
      </c>
      <c r="AB626" s="49"/>
      <c r="AC626" s="49">
        <v>0</v>
      </c>
      <c r="AD626" s="49"/>
      <c r="AE626" s="49">
        <v>0</v>
      </c>
      <c r="AF626" s="49"/>
      <c r="AG626" s="49">
        <v>0</v>
      </c>
      <c r="AH626" s="49"/>
      <c r="AI626" s="49">
        <f t="shared" si="30"/>
        <v>1307235.31</v>
      </c>
      <c r="AK626" s="6" t="str">
        <f>'Gen Rev'!A626</f>
        <v>Walbridge</v>
      </c>
      <c r="AL626" s="6" t="str">
        <f t="shared" si="28"/>
        <v>Walbridge</v>
      </c>
      <c r="AM626" s="6" t="b">
        <f t="shared" si="29"/>
        <v>1</v>
      </c>
    </row>
    <row r="627" spans="1:39" x14ac:dyDescent="0.2">
      <c r="A627" s="6" t="s">
        <v>141</v>
      </c>
      <c r="C627" s="6" t="s">
        <v>430</v>
      </c>
      <c r="E627" s="49">
        <v>35884.86</v>
      </c>
      <c r="F627" s="49"/>
      <c r="G627" s="49">
        <v>0</v>
      </c>
      <c r="H627" s="49"/>
      <c r="I627" s="49">
        <v>29049.75</v>
      </c>
      <c r="J627" s="49"/>
      <c r="K627" s="49">
        <v>0</v>
      </c>
      <c r="L627" s="49"/>
      <c r="M627" s="49">
        <v>0</v>
      </c>
      <c r="N627" s="49"/>
      <c r="O627" s="49">
        <v>565</v>
      </c>
      <c r="P627" s="49"/>
      <c r="Q627" s="49">
        <v>219.68</v>
      </c>
      <c r="R627" s="49"/>
      <c r="S627" s="49">
        <v>5317.25</v>
      </c>
      <c r="T627" s="49"/>
      <c r="U627" s="49">
        <v>0</v>
      </c>
      <c r="V627" s="49"/>
      <c r="W627" s="49">
        <v>0</v>
      </c>
      <c r="X627" s="49"/>
      <c r="Y627" s="49">
        <v>0</v>
      </c>
      <c r="Z627" s="49"/>
      <c r="AA627" s="49">
        <v>0</v>
      </c>
      <c r="AB627" s="49"/>
      <c r="AC627" s="49">
        <v>0</v>
      </c>
      <c r="AD627" s="49"/>
      <c r="AE627" s="49">
        <v>0</v>
      </c>
      <c r="AF627" s="49"/>
      <c r="AG627" s="49">
        <v>0</v>
      </c>
      <c r="AH627" s="49"/>
      <c r="AI627" s="49">
        <f t="shared" si="30"/>
        <v>71036.539999999994</v>
      </c>
      <c r="AK627" s="6" t="str">
        <f>'Gen Rev'!A627</f>
        <v>Waldo</v>
      </c>
      <c r="AL627" s="6" t="str">
        <f t="shared" si="28"/>
        <v>Waldo</v>
      </c>
      <c r="AM627" s="6" t="b">
        <f t="shared" si="29"/>
        <v>1</v>
      </c>
    </row>
    <row r="628" spans="1:39" x14ac:dyDescent="0.2">
      <c r="A628" s="6" t="s">
        <v>48</v>
      </c>
      <c r="C628" s="6" t="s">
        <v>293</v>
      </c>
      <c r="E628" s="49">
        <v>49199.35</v>
      </c>
      <c r="F628" s="49"/>
      <c r="G628" s="49">
        <v>3707031.29</v>
      </c>
      <c r="H628" s="49"/>
      <c r="I628" s="49">
        <v>1411005.19</v>
      </c>
      <c r="J628" s="49"/>
      <c r="K628" s="49">
        <v>1714.62</v>
      </c>
      <c r="L628" s="49"/>
      <c r="M628" s="49">
        <v>191326.74</v>
      </c>
      <c r="N628" s="49"/>
      <c r="O628" s="49">
        <v>281683.63</v>
      </c>
      <c r="P628" s="49"/>
      <c r="Q628" s="49">
        <v>7126.64</v>
      </c>
      <c r="R628" s="49"/>
      <c r="S628" s="49">
        <v>199056.39</v>
      </c>
      <c r="T628" s="49"/>
      <c r="U628" s="49">
        <v>0</v>
      </c>
      <c r="V628" s="49"/>
      <c r="W628" s="49">
        <v>0</v>
      </c>
      <c r="X628" s="49"/>
      <c r="Y628" s="49">
        <v>1725</v>
      </c>
      <c r="Z628" s="49"/>
      <c r="AA628" s="49">
        <v>548300</v>
      </c>
      <c r="AB628" s="49"/>
      <c r="AC628" s="49">
        <v>0</v>
      </c>
      <c r="AD628" s="49"/>
      <c r="AE628" s="49">
        <v>250000</v>
      </c>
      <c r="AF628" s="49"/>
      <c r="AG628" s="49">
        <v>0</v>
      </c>
      <c r="AH628" s="49"/>
      <c r="AI628" s="49">
        <f t="shared" si="30"/>
        <v>6648168.8499999996</v>
      </c>
      <c r="AK628" s="6" t="str">
        <f>'Gen Rev'!A628</f>
        <v>Walton Hills</v>
      </c>
      <c r="AL628" s="6" t="str">
        <f t="shared" si="28"/>
        <v>Walton Hills</v>
      </c>
      <c r="AM628" s="6" t="b">
        <f t="shared" si="29"/>
        <v>1</v>
      </c>
    </row>
    <row r="629" spans="1:39" x14ac:dyDescent="0.2">
      <c r="A629" s="6" t="s">
        <v>718</v>
      </c>
      <c r="C629" s="6" t="s">
        <v>285</v>
      </c>
      <c r="E629" s="49">
        <v>53779.82</v>
      </c>
      <c r="F629" s="49"/>
      <c r="G629" s="49">
        <v>0</v>
      </c>
      <c r="H629" s="49"/>
      <c r="I629" s="49">
        <v>61201.79</v>
      </c>
      <c r="J629" s="49"/>
      <c r="K629" s="49">
        <v>0</v>
      </c>
      <c r="L629" s="49"/>
      <c r="M629" s="49">
        <v>120054.3</v>
      </c>
      <c r="N629" s="49"/>
      <c r="O629" s="49">
        <v>5532.04</v>
      </c>
      <c r="P629" s="49"/>
      <c r="Q629" s="49">
        <v>793.86</v>
      </c>
      <c r="R629" s="49"/>
      <c r="S629" s="49">
        <v>53419.12</v>
      </c>
      <c r="T629" s="49"/>
      <c r="U629" s="49">
        <v>0</v>
      </c>
      <c r="V629" s="49"/>
      <c r="W629" s="49">
        <v>0</v>
      </c>
      <c r="X629" s="49"/>
      <c r="Y629" s="49">
        <v>0</v>
      </c>
      <c r="Z629" s="49"/>
      <c r="AA629" s="49">
        <v>0</v>
      </c>
      <c r="AB629" s="49"/>
      <c r="AC629" s="49">
        <v>0</v>
      </c>
      <c r="AD629" s="49"/>
      <c r="AE629" s="49">
        <v>799.97</v>
      </c>
      <c r="AF629" s="49"/>
      <c r="AG629" s="49">
        <v>467</v>
      </c>
      <c r="AH629" s="49"/>
      <c r="AI629" s="49">
        <f t="shared" si="30"/>
        <v>296047.89999999997</v>
      </c>
      <c r="AK629" s="6" t="str">
        <f>'Gen Rev'!A629</f>
        <v>Warsaw</v>
      </c>
      <c r="AL629" s="6" t="str">
        <f t="shared" si="28"/>
        <v>Warsaw</v>
      </c>
      <c r="AM629" s="6" t="b">
        <f t="shared" si="29"/>
        <v>1</v>
      </c>
    </row>
    <row r="630" spans="1:39" x14ac:dyDescent="0.2">
      <c r="A630" s="6" t="s">
        <v>46</v>
      </c>
      <c r="C630" s="6" t="s">
        <v>283</v>
      </c>
      <c r="E630" s="49">
        <v>101997.37</v>
      </c>
      <c r="F630" s="49"/>
      <c r="G630" s="49">
        <v>0</v>
      </c>
      <c r="H630" s="49"/>
      <c r="I630" s="49">
        <v>60937.81</v>
      </c>
      <c r="J630" s="49"/>
      <c r="K630" s="49">
        <v>0</v>
      </c>
      <c r="L630" s="49"/>
      <c r="M630" s="49">
        <v>0</v>
      </c>
      <c r="N630" s="49"/>
      <c r="O630" s="49">
        <v>61086.559999999998</v>
      </c>
      <c r="P630" s="49"/>
      <c r="Q630" s="49">
        <v>0.06</v>
      </c>
      <c r="R630" s="49"/>
      <c r="S630" s="49">
        <v>10862.63</v>
      </c>
      <c r="T630" s="49"/>
      <c r="U630" s="49">
        <v>0</v>
      </c>
      <c r="V630" s="49"/>
      <c r="W630" s="49">
        <v>0</v>
      </c>
      <c r="X630" s="49"/>
      <c r="Y630" s="49">
        <v>0</v>
      </c>
      <c r="Z630" s="49"/>
      <c r="AA630" s="49">
        <v>0</v>
      </c>
      <c r="AB630" s="49"/>
      <c r="AC630" s="49">
        <v>0</v>
      </c>
      <c r="AD630" s="49"/>
      <c r="AE630" s="49">
        <v>20000</v>
      </c>
      <c r="AF630" s="49"/>
      <c r="AG630" s="49">
        <v>0</v>
      </c>
      <c r="AH630" s="49"/>
      <c r="AI630" s="49">
        <f t="shared" si="30"/>
        <v>254884.43</v>
      </c>
      <c r="AK630" s="6" t="str">
        <f>'Gen Rev'!A630</f>
        <v>Washingtonville</v>
      </c>
      <c r="AL630" s="6" t="str">
        <f t="shared" si="28"/>
        <v>Washingtonville</v>
      </c>
      <c r="AM630" s="6" t="b">
        <f t="shared" si="29"/>
        <v>1</v>
      </c>
    </row>
    <row r="631" spans="1:39" x14ac:dyDescent="0.2">
      <c r="A631" s="6" t="s">
        <v>836</v>
      </c>
      <c r="C631" s="6" t="s">
        <v>469</v>
      </c>
      <c r="E631" s="49">
        <v>1846315</v>
      </c>
      <c r="F631" s="49"/>
      <c r="G631" s="49">
        <v>0</v>
      </c>
      <c r="H631" s="49"/>
      <c r="I631" s="49">
        <v>631634</v>
      </c>
      <c r="J631" s="49"/>
      <c r="K631" s="49">
        <v>0</v>
      </c>
      <c r="L631" s="49"/>
      <c r="M631" s="49">
        <v>40725</v>
      </c>
      <c r="N631" s="49"/>
      <c r="O631" s="49">
        <f>8160+77761</f>
        <v>85921</v>
      </c>
      <c r="P631" s="49"/>
      <c r="Q631" s="49">
        <v>937</v>
      </c>
      <c r="R631" s="49"/>
      <c r="S631" s="49">
        <v>52577</v>
      </c>
      <c r="T631" s="49"/>
      <c r="U631" s="49">
        <v>0</v>
      </c>
      <c r="V631" s="49"/>
      <c r="W631" s="49">
        <v>322227</v>
      </c>
      <c r="X631" s="49"/>
      <c r="Y631" s="49">
        <v>0</v>
      </c>
      <c r="Z631" s="49"/>
      <c r="AA631" s="49">
        <v>835343</v>
      </c>
      <c r="AB631" s="49"/>
      <c r="AC631" s="49">
        <v>0</v>
      </c>
      <c r="AD631" s="49"/>
      <c r="AE631" s="49">
        <v>0</v>
      </c>
      <c r="AF631" s="49"/>
      <c r="AG631" s="49">
        <v>0</v>
      </c>
      <c r="AH631" s="49"/>
      <c r="AI631" s="49">
        <f t="shared" si="30"/>
        <v>3815679</v>
      </c>
      <c r="AK631" s="6" t="str">
        <f>'Gen Rev'!A631</f>
        <v>Waverly</v>
      </c>
      <c r="AL631" s="6" t="str">
        <f t="shared" si="28"/>
        <v>Waverly</v>
      </c>
      <c r="AM631" s="6" t="b">
        <f t="shared" si="29"/>
        <v>1</v>
      </c>
    </row>
    <row r="632" spans="1:39" x14ac:dyDescent="0.2">
      <c r="A632" s="6" t="s">
        <v>547</v>
      </c>
      <c r="C632" s="6" t="s">
        <v>558</v>
      </c>
      <c r="E632" s="49">
        <v>84588.07</v>
      </c>
      <c r="F632" s="49"/>
      <c r="G632" s="49">
        <v>0</v>
      </c>
      <c r="H632" s="49"/>
      <c r="I632" s="49">
        <v>95936.86</v>
      </c>
      <c r="J632" s="49"/>
      <c r="K632" s="49">
        <v>14263.19</v>
      </c>
      <c r="L632" s="49"/>
      <c r="M632" s="49">
        <v>57312.24</v>
      </c>
      <c r="N632" s="49"/>
      <c r="O632" s="49">
        <v>13088.14</v>
      </c>
      <c r="P632" s="49"/>
      <c r="Q632" s="49">
        <v>53.38</v>
      </c>
      <c r="R632" s="49"/>
      <c r="S632" s="49">
        <v>35949.75</v>
      </c>
      <c r="T632" s="49"/>
      <c r="U632" s="49">
        <v>0</v>
      </c>
      <c r="V632" s="49"/>
      <c r="W632" s="49">
        <v>0</v>
      </c>
      <c r="X632" s="49"/>
      <c r="Y632" s="49">
        <v>0</v>
      </c>
      <c r="Z632" s="49"/>
      <c r="AA632" s="49">
        <v>0</v>
      </c>
      <c r="AB632" s="49"/>
      <c r="AC632" s="49">
        <v>0</v>
      </c>
      <c r="AD632" s="49"/>
      <c r="AE632" s="49">
        <v>0</v>
      </c>
      <c r="AF632" s="49"/>
      <c r="AG632" s="49">
        <v>0</v>
      </c>
      <c r="AH632" s="49"/>
      <c r="AI632" s="49">
        <f t="shared" si="30"/>
        <v>301191.63</v>
      </c>
      <c r="AK632" s="6" t="str">
        <f>'Gen Rev'!A632</f>
        <v>Wayne</v>
      </c>
      <c r="AL632" s="6" t="str">
        <f t="shared" si="28"/>
        <v>Wayne</v>
      </c>
      <c r="AM632" s="6" t="b">
        <f t="shared" si="29"/>
        <v>1</v>
      </c>
    </row>
    <row r="633" spans="1:39" x14ac:dyDescent="0.2">
      <c r="A633" s="6" t="s">
        <v>316</v>
      </c>
      <c r="C633" s="6" t="s">
        <v>306</v>
      </c>
      <c r="E633" s="49">
        <v>105899</v>
      </c>
      <c r="F633" s="49"/>
      <c r="G633" s="49">
        <v>0</v>
      </c>
      <c r="H633" s="49"/>
      <c r="I633" s="49">
        <v>81472</v>
      </c>
      <c r="J633" s="49"/>
      <c r="K633" s="49">
        <v>13051</v>
      </c>
      <c r="L633" s="49"/>
      <c r="M633" s="49">
        <v>26834</v>
      </c>
      <c r="N633" s="49"/>
      <c r="O633" s="49">
        <v>7654</v>
      </c>
      <c r="P633" s="49"/>
      <c r="Q633" s="49">
        <v>0</v>
      </c>
      <c r="R633" s="49"/>
      <c r="S633" s="49">
        <v>904</v>
      </c>
      <c r="T633" s="49"/>
      <c r="U633" s="49">
        <v>0</v>
      </c>
      <c r="V633" s="49"/>
      <c r="W633" s="49">
        <v>0</v>
      </c>
      <c r="X633" s="49"/>
      <c r="Y633" s="49">
        <v>50</v>
      </c>
      <c r="Z633" s="49"/>
      <c r="AA633" s="49">
        <v>18000</v>
      </c>
      <c r="AB633" s="49"/>
      <c r="AC633" s="49">
        <v>0</v>
      </c>
      <c r="AD633" s="49"/>
      <c r="AE633" s="49">
        <v>0</v>
      </c>
      <c r="AF633" s="49"/>
      <c r="AG633" s="49">
        <v>0</v>
      </c>
      <c r="AH633" s="49"/>
      <c r="AI633" s="49">
        <f t="shared" si="30"/>
        <v>253864</v>
      </c>
      <c r="AK633" s="6" t="str">
        <f>'Gen Rev'!A633</f>
        <v>Wayne Lakes</v>
      </c>
      <c r="AL633" s="6" t="str">
        <f t="shared" si="28"/>
        <v>Wayne Lakes</v>
      </c>
      <c r="AM633" s="6" t="b">
        <f t="shared" si="29"/>
        <v>1</v>
      </c>
    </row>
    <row r="634" spans="1:39" x14ac:dyDescent="0.2">
      <c r="A634" s="6" t="s">
        <v>509</v>
      </c>
      <c r="C634" s="6" t="s">
        <v>502</v>
      </c>
      <c r="E634" s="49">
        <v>142508</v>
      </c>
      <c r="F634" s="49"/>
      <c r="G634" s="49">
        <v>0</v>
      </c>
      <c r="H634" s="49"/>
      <c r="I634" s="49">
        <v>100939</v>
      </c>
      <c r="J634" s="49"/>
      <c r="K634" s="49">
        <v>0</v>
      </c>
      <c r="L634" s="49"/>
      <c r="M634" s="49">
        <v>54448</v>
      </c>
      <c r="N634" s="49"/>
      <c r="O634" s="49">
        <v>18305</v>
      </c>
      <c r="P634" s="49"/>
      <c r="Q634" s="49">
        <v>1265</v>
      </c>
      <c r="R634" s="49"/>
      <c r="S634" s="49">
        <v>35342</v>
      </c>
      <c r="T634" s="49"/>
      <c r="U634" s="49">
        <v>0</v>
      </c>
      <c r="V634" s="49"/>
      <c r="W634" s="49">
        <v>0</v>
      </c>
      <c r="X634" s="49"/>
      <c r="Y634" s="49">
        <v>1200</v>
      </c>
      <c r="Z634" s="49"/>
      <c r="AA634" s="49">
        <v>0</v>
      </c>
      <c r="AB634" s="49"/>
      <c r="AC634" s="49">
        <v>0</v>
      </c>
      <c r="AD634" s="49"/>
      <c r="AE634" s="49">
        <v>0</v>
      </c>
      <c r="AF634" s="49"/>
      <c r="AG634" s="49">
        <v>0</v>
      </c>
      <c r="AH634" s="49"/>
      <c r="AI634" s="49">
        <f t="shared" si="30"/>
        <v>354007</v>
      </c>
      <c r="AK634" s="6" t="str">
        <f>'Gen Rev'!A634</f>
        <v>Waynesburg</v>
      </c>
      <c r="AL634" s="6" t="str">
        <f t="shared" si="28"/>
        <v>Waynesburg</v>
      </c>
      <c r="AM634" s="6" t="b">
        <f t="shared" si="29"/>
        <v>1</v>
      </c>
    </row>
    <row r="635" spans="1:39" x14ac:dyDescent="0.2">
      <c r="A635" s="6" t="s">
        <v>14</v>
      </c>
      <c r="C635" s="6" t="s">
        <v>257</v>
      </c>
      <c r="E635" s="49">
        <v>46399.34</v>
      </c>
      <c r="F635" s="49"/>
      <c r="G635" s="49">
        <v>131379.59</v>
      </c>
      <c r="H635" s="49"/>
      <c r="I635" s="49">
        <v>104770.54</v>
      </c>
      <c r="J635" s="49"/>
      <c r="K635" s="49">
        <v>0</v>
      </c>
      <c r="L635" s="49"/>
      <c r="M635" s="49">
        <v>200</v>
      </c>
      <c r="N635" s="49"/>
      <c r="O635" s="49">
        <v>16087.2</v>
      </c>
      <c r="P635" s="49"/>
      <c r="Q635" s="49">
        <v>0</v>
      </c>
      <c r="R635" s="49"/>
      <c r="S635" s="49">
        <v>3667.16</v>
      </c>
      <c r="T635" s="49"/>
      <c r="U635" s="49">
        <v>0</v>
      </c>
      <c r="V635" s="49"/>
      <c r="W635" s="49">
        <v>0</v>
      </c>
      <c r="X635" s="49"/>
      <c r="Y635" s="49">
        <v>0</v>
      </c>
      <c r="Z635" s="49"/>
      <c r="AA635" s="49">
        <v>0</v>
      </c>
      <c r="AB635" s="49"/>
      <c r="AC635" s="49">
        <v>0</v>
      </c>
      <c r="AD635" s="49"/>
      <c r="AE635" s="49">
        <v>0</v>
      </c>
      <c r="AF635" s="49"/>
      <c r="AG635" s="49">
        <v>0</v>
      </c>
      <c r="AH635" s="49"/>
      <c r="AI635" s="49">
        <f t="shared" si="30"/>
        <v>302503.82999999996</v>
      </c>
      <c r="AK635" s="6" t="str">
        <f>'Gen Rev'!A635</f>
        <v>Waynesfield</v>
      </c>
      <c r="AL635" s="6" t="str">
        <f t="shared" si="28"/>
        <v>Waynesfield</v>
      </c>
      <c r="AM635" s="6" t="b">
        <f t="shared" si="29"/>
        <v>1</v>
      </c>
    </row>
    <row r="636" spans="1:39" x14ac:dyDescent="0.2">
      <c r="A636" s="6" t="s">
        <v>543</v>
      </c>
      <c r="C636" s="6" t="s">
        <v>541</v>
      </c>
      <c r="E636" s="49">
        <v>473769</v>
      </c>
      <c r="F636" s="49"/>
      <c r="G636" s="49">
        <v>406084</v>
      </c>
      <c r="H636" s="49"/>
      <c r="I636" s="49">
        <v>462388</v>
      </c>
      <c r="J636" s="49"/>
      <c r="K636" s="49">
        <v>0</v>
      </c>
      <c r="L636" s="49"/>
      <c r="M636" s="49">
        <v>15302</v>
      </c>
      <c r="N636" s="49"/>
      <c r="O636" s="49">
        <v>113927</v>
      </c>
      <c r="P636" s="49"/>
      <c r="Q636" s="49">
        <v>1709</v>
      </c>
      <c r="R636" s="49"/>
      <c r="S636" s="49">
        <v>23131</v>
      </c>
      <c r="T636" s="49"/>
      <c r="U636" s="49">
        <v>0</v>
      </c>
      <c r="V636" s="49"/>
      <c r="W636" s="49">
        <v>0</v>
      </c>
      <c r="X636" s="49"/>
      <c r="Y636" s="49">
        <v>0</v>
      </c>
      <c r="Z636" s="49"/>
      <c r="AA636" s="49">
        <v>0</v>
      </c>
      <c r="AB636" s="49"/>
      <c r="AC636" s="49">
        <v>0</v>
      </c>
      <c r="AD636" s="49"/>
      <c r="AE636" s="49">
        <v>0</v>
      </c>
      <c r="AF636" s="49"/>
      <c r="AG636" s="49">
        <v>0</v>
      </c>
      <c r="AH636" s="49"/>
      <c r="AI636" s="49">
        <f t="shared" si="30"/>
        <v>1496310</v>
      </c>
      <c r="AK636" s="6" t="str">
        <f>'Gen Rev'!A636</f>
        <v>Waynesville</v>
      </c>
      <c r="AL636" s="6" t="str">
        <f t="shared" si="28"/>
        <v>Waynesville</v>
      </c>
      <c r="AM636" s="6" t="b">
        <f t="shared" si="29"/>
        <v>1</v>
      </c>
    </row>
    <row r="637" spans="1:39" x14ac:dyDescent="0.2">
      <c r="A637" s="6" t="s">
        <v>421</v>
      </c>
      <c r="C637" s="6" t="s">
        <v>419</v>
      </c>
      <c r="E637" s="49">
        <f>611325+123487</f>
        <v>734812</v>
      </c>
      <c r="F637" s="49"/>
      <c r="G637" s="49">
        <v>1503356</v>
      </c>
      <c r="H637" s="49"/>
      <c r="I637" s="49">
        <v>437094</v>
      </c>
      <c r="J637" s="49"/>
      <c r="K637" s="49">
        <v>118497</v>
      </c>
      <c r="L637" s="49"/>
      <c r="M637" s="49">
        <v>38171</v>
      </c>
      <c r="N637" s="49"/>
      <c r="O637" s="49">
        <v>44789</v>
      </c>
      <c r="P637" s="49"/>
      <c r="Q637" s="49">
        <v>69848</v>
      </c>
      <c r="R637" s="49"/>
      <c r="S637" s="49">
        <f>1114+65114</f>
        <v>66228</v>
      </c>
      <c r="T637" s="49"/>
      <c r="U637" s="49">
        <v>0</v>
      </c>
      <c r="V637" s="49"/>
      <c r="W637" s="49">
        <v>163297</v>
      </c>
      <c r="X637" s="49"/>
      <c r="Y637" s="49">
        <v>0</v>
      </c>
      <c r="Z637" s="49"/>
      <c r="AA637" s="49">
        <v>0</v>
      </c>
      <c r="AB637" s="49"/>
      <c r="AC637" s="49">
        <v>0</v>
      </c>
      <c r="AD637" s="49"/>
      <c r="AE637" s="49">
        <v>0</v>
      </c>
      <c r="AF637" s="49"/>
      <c r="AG637" s="49">
        <v>0</v>
      </c>
      <c r="AH637" s="49"/>
      <c r="AI637" s="49">
        <f t="shared" si="30"/>
        <v>3176092</v>
      </c>
      <c r="AK637" s="6" t="str">
        <f>'Gen Rev'!A637</f>
        <v>Wellington</v>
      </c>
      <c r="AL637" s="6" t="str">
        <f t="shared" si="28"/>
        <v>Wellington</v>
      </c>
      <c r="AM637" s="6" t="b">
        <f t="shared" si="29"/>
        <v>1</v>
      </c>
    </row>
    <row r="638" spans="1:39" x14ac:dyDescent="0.2">
      <c r="A638" s="6" t="s">
        <v>284</v>
      </c>
      <c r="C638" s="6" t="s">
        <v>283</v>
      </c>
      <c r="E638" s="49">
        <v>375882.37</v>
      </c>
      <c r="F638" s="49"/>
      <c r="G638" s="49">
        <v>435632.05</v>
      </c>
      <c r="H638" s="49"/>
      <c r="I638" s="49">
        <v>312160.59999999998</v>
      </c>
      <c r="J638" s="49"/>
      <c r="K638" s="49">
        <v>0</v>
      </c>
      <c r="L638" s="49"/>
      <c r="M638" s="49">
        <v>136949.13</v>
      </c>
      <c r="N638" s="49"/>
      <c r="O638" s="49">
        <v>97881.54</v>
      </c>
      <c r="P638" s="49"/>
      <c r="Q638" s="49">
        <v>436.28</v>
      </c>
      <c r="R638" s="49"/>
      <c r="S638" s="49">
        <v>57747.839999999997</v>
      </c>
      <c r="T638" s="49"/>
      <c r="U638" s="49">
        <v>0</v>
      </c>
      <c r="V638" s="49"/>
      <c r="W638" s="49">
        <v>0</v>
      </c>
      <c r="X638" s="49"/>
      <c r="Y638" s="49">
        <v>47000</v>
      </c>
      <c r="Z638" s="49"/>
      <c r="AA638" s="49">
        <v>200000</v>
      </c>
      <c r="AB638" s="49"/>
      <c r="AC638" s="49">
        <v>125000</v>
      </c>
      <c r="AD638" s="49"/>
      <c r="AE638" s="49">
        <v>0</v>
      </c>
      <c r="AF638" s="49"/>
      <c r="AG638" s="49">
        <v>0</v>
      </c>
      <c r="AH638" s="49"/>
      <c r="AI638" s="49">
        <f t="shared" si="30"/>
        <v>1788689.81</v>
      </c>
      <c r="AK638" s="6" t="str">
        <f>'Gen Rev'!A638</f>
        <v>Wellsville</v>
      </c>
      <c r="AL638" s="6" t="str">
        <f t="shared" si="28"/>
        <v>Wellsville</v>
      </c>
      <c r="AM638" s="6" t="b">
        <f t="shared" si="29"/>
        <v>1</v>
      </c>
    </row>
    <row r="639" spans="1:39" x14ac:dyDescent="0.2">
      <c r="A639" s="6" t="s">
        <v>475</v>
      </c>
      <c r="C639" s="6" t="s">
        <v>472</v>
      </c>
      <c r="E639" s="49">
        <v>95302</v>
      </c>
      <c r="F639" s="49"/>
      <c r="G639" s="49">
        <v>306859</v>
      </c>
      <c r="H639" s="49"/>
      <c r="I639" s="49">
        <v>717629</v>
      </c>
      <c r="J639" s="49"/>
      <c r="K639" s="49">
        <v>10838</v>
      </c>
      <c r="L639" s="49"/>
      <c r="M639" s="49">
        <v>376531</v>
      </c>
      <c r="N639" s="49"/>
      <c r="O639" s="49">
        <v>4455</v>
      </c>
      <c r="P639" s="49"/>
      <c r="Q639" s="49">
        <v>1963</v>
      </c>
      <c r="R639" s="49"/>
      <c r="S639" s="49">
        <v>57415</v>
      </c>
      <c r="T639" s="49"/>
      <c r="U639" s="49">
        <v>0</v>
      </c>
      <c r="V639" s="49"/>
      <c r="W639" s="49">
        <v>180000</v>
      </c>
      <c r="X639" s="49"/>
      <c r="Y639" s="49">
        <v>13280</v>
      </c>
      <c r="Z639" s="49"/>
      <c r="AA639" s="49">
        <v>0</v>
      </c>
      <c r="AB639" s="49"/>
      <c r="AC639" s="49">
        <v>0</v>
      </c>
      <c r="AD639" s="49"/>
      <c r="AE639" s="49">
        <v>257532</v>
      </c>
      <c r="AF639" s="49"/>
      <c r="AG639" s="49">
        <v>0</v>
      </c>
      <c r="AH639" s="49"/>
      <c r="AI639" s="49">
        <f t="shared" si="30"/>
        <v>2021804</v>
      </c>
      <c r="AK639" s="6" t="str">
        <f>'Gen Rev'!A639</f>
        <v>West Alexandria</v>
      </c>
      <c r="AL639" s="6" t="str">
        <f t="shared" si="28"/>
        <v>West Alexandria</v>
      </c>
      <c r="AM639" s="6" t="b">
        <f t="shared" si="29"/>
        <v>1</v>
      </c>
    </row>
    <row r="640" spans="1:39" x14ac:dyDescent="0.2">
      <c r="A640" s="6" t="s">
        <v>811</v>
      </c>
      <c r="C640" s="6" t="s">
        <v>472</v>
      </c>
      <c r="E640" s="49">
        <v>8729.98</v>
      </c>
      <c r="F640" s="49"/>
      <c r="G640" s="49">
        <v>21018.49</v>
      </c>
      <c r="H640" s="49"/>
      <c r="I640" s="49">
        <v>24509.19</v>
      </c>
      <c r="J640" s="49"/>
      <c r="K640" s="49">
        <v>0</v>
      </c>
      <c r="L640" s="49"/>
      <c r="M640" s="49">
        <v>550</v>
      </c>
      <c r="N640" s="49"/>
      <c r="O640" s="49">
        <v>8838.74</v>
      </c>
      <c r="P640" s="49"/>
      <c r="Q640" s="49">
        <v>60.4</v>
      </c>
      <c r="R640" s="49"/>
      <c r="S640" s="49">
        <v>1379.63</v>
      </c>
      <c r="T640" s="49"/>
      <c r="U640" s="49">
        <v>0</v>
      </c>
      <c r="V640" s="49"/>
      <c r="W640" s="49">
        <v>0</v>
      </c>
      <c r="X640" s="49"/>
      <c r="Y640" s="49">
        <v>0</v>
      </c>
      <c r="Z640" s="49"/>
      <c r="AA640" s="49">
        <v>0</v>
      </c>
      <c r="AB640" s="49"/>
      <c r="AC640" s="49">
        <v>0</v>
      </c>
      <c r="AD640" s="49"/>
      <c r="AE640" s="49">
        <v>0</v>
      </c>
      <c r="AF640" s="49"/>
      <c r="AG640" s="49">
        <v>0</v>
      </c>
      <c r="AH640" s="49"/>
      <c r="AI640" s="49">
        <f t="shared" si="30"/>
        <v>65086.43</v>
      </c>
      <c r="AK640" s="6" t="str">
        <f>'Gen Rev'!A640</f>
        <v>West Elkton</v>
      </c>
      <c r="AL640" s="6" t="str">
        <f t="shared" si="28"/>
        <v>West Elkton</v>
      </c>
      <c r="AM640" s="6" t="b">
        <f t="shared" si="29"/>
        <v>1</v>
      </c>
    </row>
    <row r="641" spans="1:39" x14ac:dyDescent="0.2">
      <c r="A641" s="6" t="s">
        <v>215</v>
      </c>
      <c r="C641" s="6" t="s">
        <v>518</v>
      </c>
      <c r="E641" s="49">
        <v>37599.89</v>
      </c>
      <c r="F641" s="49"/>
      <c r="G641" s="49">
        <v>4710.84</v>
      </c>
      <c r="H641" s="49"/>
      <c r="I641" s="49">
        <v>78767.350000000006</v>
      </c>
      <c r="J641" s="49"/>
      <c r="K641" s="49">
        <v>3490.1</v>
      </c>
      <c r="L641" s="49"/>
      <c r="M641" s="49">
        <v>0</v>
      </c>
      <c r="N641" s="49"/>
      <c r="O641" s="49">
        <v>12741.38</v>
      </c>
      <c r="P641" s="49"/>
      <c r="Q641" s="49">
        <v>22.93</v>
      </c>
      <c r="R641" s="49"/>
      <c r="S641" s="49">
        <v>3120.97</v>
      </c>
      <c r="T641" s="49"/>
      <c r="U641" s="49">
        <v>0</v>
      </c>
      <c r="V641" s="49"/>
      <c r="W641" s="49">
        <v>0</v>
      </c>
      <c r="X641" s="49"/>
      <c r="Y641" s="49">
        <v>0</v>
      </c>
      <c r="Z641" s="49"/>
      <c r="AA641" s="49">
        <v>15092.54</v>
      </c>
      <c r="AB641" s="49"/>
      <c r="AC641" s="49">
        <v>4305</v>
      </c>
      <c r="AD641" s="49"/>
      <c r="AE641" s="49">
        <v>0</v>
      </c>
      <c r="AF641" s="49"/>
      <c r="AG641" s="49">
        <v>480</v>
      </c>
      <c r="AH641" s="49"/>
      <c r="AI641" s="49">
        <f t="shared" si="30"/>
        <v>160331</v>
      </c>
      <c r="AK641" s="6" t="str">
        <f>'Gen Rev'!A641</f>
        <v>West Farmington</v>
      </c>
      <c r="AL641" s="6" t="str">
        <f t="shared" si="28"/>
        <v>West Farmington</v>
      </c>
      <c r="AM641" s="6" t="b">
        <f t="shared" si="29"/>
        <v>1</v>
      </c>
    </row>
    <row r="642" spans="1:39" x14ac:dyDescent="0.2">
      <c r="A642" s="6" t="s">
        <v>812</v>
      </c>
      <c r="C642" s="6" t="s">
        <v>401</v>
      </c>
      <c r="E642" s="49">
        <v>68754.52</v>
      </c>
      <c r="F642" s="49"/>
      <c r="G642" s="49">
        <v>2434038.35</v>
      </c>
      <c r="H642" s="49"/>
      <c r="I642" s="49">
        <v>1055605.03</v>
      </c>
      <c r="J642" s="49"/>
      <c r="K642" s="49">
        <v>430961.25</v>
      </c>
      <c r="L642" s="49"/>
      <c r="M642" s="49">
        <v>339847.76</v>
      </c>
      <c r="N642" s="49"/>
      <c r="O642" s="49">
        <v>91357.35</v>
      </c>
      <c r="P642" s="49"/>
      <c r="Q642" s="49">
        <v>0</v>
      </c>
      <c r="R642" s="49"/>
      <c r="S642" s="49">
        <v>236808.2</v>
      </c>
      <c r="T642" s="49"/>
      <c r="U642" s="49">
        <v>0</v>
      </c>
      <c r="V642" s="49"/>
      <c r="W642" s="49">
        <v>0</v>
      </c>
      <c r="X642" s="49"/>
      <c r="Y642" s="49">
        <v>0</v>
      </c>
      <c r="Z642" s="49"/>
      <c r="AA642" s="49">
        <v>75000</v>
      </c>
      <c r="AB642" s="49"/>
      <c r="AC642" s="49">
        <v>0</v>
      </c>
      <c r="AD642" s="49"/>
      <c r="AE642" s="49">
        <v>0</v>
      </c>
      <c r="AF642" s="49"/>
      <c r="AG642" s="49">
        <v>0</v>
      </c>
      <c r="AH642" s="49"/>
      <c r="AI642" s="49">
        <f t="shared" si="30"/>
        <v>4732372.46</v>
      </c>
      <c r="AK642" s="6" t="str">
        <f>'Gen Rev'!A642</f>
        <v>West Jefferson</v>
      </c>
      <c r="AL642" s="6" t="str">
        <f t="shared" si="28"/>
        <v>West Jefferson</v>
      </c>
      <c r="AM642" s="6" t="b">
        <f t="shared" si="29"/>
        <v>1</v>
      </c>
    </row>
    <row r="643" spans="1:39" x14ac:dyDescent="0.2">
      <c r="A643" s="6" t="s">
        <v>287</v>
      </c>
      <c r="C643" s="6" t="s">
        <v>285</v>
      </c>
      <c r="E643" s="49">
        <v>116130</v>
      </c>
      <c r="F643" s="49"/>
      <c r="G643" s="49">
        <v>435079</v>
      </c>
      <c r="H643" s="49"/>
      <c r="I643" s="49">
        <v>312951</v>
      </c>
      <c r="J643" s="49"/>
      <c r="K643" s="49">
        <v>0</v>
      </c>
      <c r="L643" s="49"/>
      <c r="M643" s="49">
        <v>97421</v>
      </c>
      <c r="N643" s="49"/>
      <c r="O643" s="49">
        <v>5823</v>
      </c>
      <c r="P643" s="49"/>
      <c r="Q643" s="49">
        <v>1923</v>
      </c>
      <c r="R643" s="49"/>
      <c r="S643" s="49">
        <v>9380</v>
      </c>
      <c r="T643" s="49"/>
      <c r="U643" s="49">
        <v>0</v>
      </c>
      <c r="V643" s="49"/>
      <c r="W643" s="49">
        <v>0</v>
      </c>
      <c r="X643" s="49"/>
      <c r="Y643" s="49">
        <v>55</v>
      </c>
      <c r="Z643" s="49"/>
      <c r="AA643" s="49">
        <v>6761</v>
      </c>
      <c r="AB643" s="49"/>
      <c r="AC643" s="49">
        <v>5000</v>
      </c>
      <c r="AD643" s="49"/>
      <c r="AE643" s="49">
        <v>0</v>
      </c>
      <c r="AF643" s="49"/>
      <c r="AG643" s="49">
        <v>0</v>
      </c>
      <c r="AH643" s="49"/>
      <c r="AI643" s="49">
        <f t="shared" si="30"/>
        <v>990523</v>
      </c>
      <c r="AK643" s="6" t="str">
        <f>'Gen Rev'!A643</f>
        <v>West Lafayette</v>
      </c>
      <c r="AL643" s="6" t="str">
        <f t="shared" si="28"/>
        <v>West Lafayette</v>
      </c>
      <c r="AM643" s="6" t="b">
        <f t="shared" si="29"/>
        <v>1</v>
      </c>
    </row>
    <row r="644" spans="1:39" x14ac:dyDescent="0.2">
      <c r="A644" s="6" t="s">
        <v>778</v>
      </c>
      <c r="C644" s="6" t="s">
        <v>476</v>
      </c>
      <c r="E644" s="49">
        <v>14171.34</v>
      </c>
      <c r="F644" s="49"/>
      <c r="G644" s="49">
        <v>0</v>
      </c>
      <c r="H644" s="49"/>
      <c r="I644" s="49">
        <v>32327.87</v>
      </c>
      <c r="J644" s="49"/>
      <c r="K644" s="49">
        <v>0</v>
      </c>
      <c r="L644" s="49"/>
      <c r="M644" s="49">
        <v>0</v>
      </c>
      <c r="N644" s="49"/>
      <c r="O644" s="49">
        <v>0</v>
      </c>
      <c r="P644" s="49"/>
      <c r="Q644" s="49">
        <v>660.02</v>
      </c>
      <c r="R644" s="49"/>
      <c r="S644" s="49">
        <v>11752.2</v>
      </c>
      <c r="T644" s="49"/>
      <c r="U644" s="49">
        <v>0</v>
      </c>
      <c r="V644" s="49"/>
      <c r="W644" s="49">
        <v>0</v>
      </c>
      <c r="X644" s="49"/>
      <c r="Y644" s="49">
        <v>0</v>
      </c>
      <c r="Z644" s="49"/>
      <c r="AA644" s="49">
        <v>3000</v>
      </c>
      <c r="AB644" s="49"/>
      <c r="AC644" s="49">
        <v>0</v>
      </c>
      <c r="AD644" s="49"/>
      <c r="AE644" s="49">
        <v>0</v>
      </c>
      <c r="AF644" s="49"/>
      <c r="AG644" s="49">
        <v>0</v>
      </c>
      <c r="AH644" s="49"/>
      <c r="AI644" s="49">
        <f t="shared" si="30"/>
        <v>61911.429999999993</v>
      </c>
      <c r="AK644" s="6" t="str">
        <f>'Gen Rev'!A644</f>
        <v>West Leipsic</v>
      </c>
      <c r="AL644" s="6" t="str">
        <f t="shared" si="28"/>
        <v>West Leipsic</v>
      </c>
      <c r="AM644" s="6" t="b">
        <f t="shared" si="29"/>
        <v>1</v>
      </c>
    </row>
    <row r="645" spans="1:39" x14ac:dyDescent="0.2">
      <c r="A645" s="6" t="s">
        <v>126</v>
      </c>
      <c r="C645" s="6" t="s">
        <v>414</v>
      </c>
      <c r="E645" s="49">
        <v>316819.74</v>
      </c>
      <c r="F645" s="49"/>
      <c r="G645" s="49">
        <v>62048.57</v>
      </c>
      <c r="H645" s="49"/>
      <c r="I645" s="49">
        <v>138103.4</v>
      </c>
      <c r="J645" s="49"/>
      <c r="K645" s="49">
        <v>0</v>
      </c>
      <c r="L645" s="49"/>
      <c r="M645" s="49">
        <v>194239.71</v>
      </c>
      <c r="N645" s="49"/>
      <c r="O645" s="49">
        <v>3909</v>
      </c>
      <c r="P645" s="49"/>
      <c r="Q645" s="49">
        <v>3027.82</v>
      </c>
      <c r="R645" s="49"/>
      <c r="S645" s="49">
        <v>80643.649999999994</v>
      </c>
      <c r="T645" s="49"/>
      <c r="U645" s="49">
        <v>0</v>
      </c>
      <c r="V645" s="49"/>
      <c r="W645" s="49">
        <v>0</v>
      </c>
      <c r="X645" s="49"/>
      <c r="Y645" s="49">
        <v>0</v>
      </c>
      <c r="Z645" s="49"/>
      <c r="AA645" s="49">
        <v>25145.35</v>
      </c>
      <c r="AB645" s="49"/>
      <c r="AC645" s="49">
        <v>0</v>
      </c>
      <c r="AD645" s="49"/>
      <c r="AE645" s="49">
        <v>0</v>
      </c>
      <c r="AF645" s="49"/>
      <c r="AG645" s="49">
        <v>0</v>
      </c>
      <c r="AH645" s="49"/>
      <c r="AI645" s="49">
        <f t="shared" si="30"/>
        <v>823937.23999999987</v>
      </c>
      <c r="AK645" s="6" t="str">
        <f>'Gen Rev'!A645</f>
        <v>West Liberty</v>
      </c>
      <c r="AL645" s="6" t="str">
        <f t="shared" si="28"/>
        <v>West Liberty</v>
      </c>
      <c r="AM645" s="6" t="b">
        <f t="shared" si="29"/>
        <v>1</v>
      </c>
    </row>
    <row r="646" spans="1:39" x14ac:dyDescent="0.2">
      <c r="A646" s="18" t="s">
        <v>779</v>
      </c>
      <c r="B646" s="18"/>
      <c r="C646" s="18" t="s">
        <v>472</v>
      </c>
      <c r="D646" s="18"/>
      <c r="E646" s="49">
        <f>34629+22884</f>
        <v>57513</v>
      </c>
      <c r="F646" s="49"/>
      <c r="G646" s="49">
        <v>0</v>
      </c>
      <c r="H646" s="49"/>
      <c r="I646" s="49">
        <v>2705</v>
      </c>
      <c r="J646" s="49"/>
      <c r="K646" s="49">
        <v>0</v>
      </c>
      <c r="L646" s="49"/>
      <c r="M646" s="49">
        <v>316830</v>
      </c>
      <c r="N646" s="49"/>
      <c r="O646" s="49">
        <f>2061+126</f>
        <v>2187</v>
      </c>
      <c r="P646" s="49"/>
      <c r="Q646" s="49">
        <v>1102</v>
      </c>
      <c r="R646" s="49"/>
      <c r="S646" s="49">
        <v>16892</v>
      </c>
      <c r="T646" s="49"/>
      <c r="U646" s="49">
        <v>0</v>
      </c>
      <c r="V646" s="49"/>
      <c r="W646" s="49">
        <v>186000</v>
      </c>
      <c r="X646" s="49"/>
      <c r="Y646" s="49">
        <v>0</v>
      </c>
      <c r="Z646" s="49"/>
      <c r="AA646" s="49">
        <v>88794</v>
      </c>
      <c r="AB646" s="49"/>
      <c r="AC646" s="49">
        <v>0</v>
      </c>
      <c r="AD646" s="49"/>
      <c r="AE646" s="49">
        <v>0</v>
      </c>
      <c r="AF646" s="49"/>
      <c r="AG646" s="49">
        <v>0</v>
      </c>
      <c r="AH646" s="49"/>
      <c r="AI646" s="49">
        <f t="shared" si="30"/>
        <v>672023</v>
      </c>
      <c r="AK646" s="6" t="str">
        <f>'Gen Rev'!A646</f>
        <v>West Manchester</v>
      </c>
      <c r="AL646" s="6" t="str">
        <f t="shared" si="28"/>
        <v>West Manchester</v>
      </c>
      <c r="AM646" s="6" t="b">
        <f t="shared" si="29"/>
        <v>1</v>
      </c>
    </row>
    <row r="647" spans="1:39" x14ac:dyDescent="0.2">
      <c r="A647" s="6" t="s">
        <v>813</v>
      </c>
      <c r="C647" s="6" t="s">
        <v>414</v>
      </c>
      <c r="E647" s="49">
        <v>115595.06</v>
      </c>
      <c r="F647" s="49"/>
      <c r="G647" s="49">
        <v>34818.69</v>
      </c>
      <c r="H647" s="49"/>
      <c r="I647" s="49">
        <v>143758.95000000001</v>
      </c>
      <c r="J647" s="49"/>
      <c r="K647" s="49">
        <v>0</v>
      </c>
      <c r="L647" s="49"/>
      <c r="M647" s="49">
        <v>0</v>
      </c>
      <c r="N647" s="49"/>
      <c r="O647" s="49">
        <v>4662.8999999999996</v>
      </c>
      <c r="P647" s="49"/>
      <c r="Q647" s="49">
        <v>1592.38</v>
      </c>
      <c r="R647" s="49"/>
      <c r="S647" s="49">
        <v>2452.31</v>
      </c>
      <c r="T647" s="49"/>
      <c r="U647" s="49">
        <v>0</v>
      </c>
      <c r="V647" s="49"/>
      <c r="W647" s="49">
        <v>0</v>
      </c>
      <c r="X647" s="49"/>
      <c r="Y647" s="49">
        <v>0</v>
      </c>
      <c r="Z647" s="49"/>
      <c r="AA647" s="49">
        <v>23215.06</v>
      </c>
      <c r="AB647" s="49"/>
      <c r="AC647" s="49">
        <v>0</v>
      </c>
      <c r="AD647" s="49"/>
      <c r="AE647" s="49">
        <v>0</v>
      </c>
      <c r="AF647" s="49"/>
      <c r="AG647" s="49">
        <v>0</v>
      </c>
      <c r="AH647" s="49"/>
      <c r="AI647" s="49">
        <f t="shared" si="30"/>
        <v>326095.35000000003</v>
      </c>
      <c r="AK647" s="6" t="str">
        <f>'Gen Rev'!A647</f>
        <v>West Mansfield</v>
      </c>
      <c r="AL647" s="6" t="str">
        <f t="shared" si="28"/>
        <v>West Mansfield</v>
      </c>
      <c r="AM647" s="6" t="b">
        <f t="shared" si="29"/>
        <v>1</v>
      </c>
    </row>
    <row r="648" spans="1:39" x14ac:dyDescent="0.2">
      <c r="A648" s="6" t="s">
        <v>244</v>
      </c>
      <c r="C648" s="6" t="s">
        <v>558</v>
      </c>
      <c r="E648" s="49">
        <v>11959.79</v>
      </c>
      <c r="F648" s="49"/>
      <c r="G648" s="49">
        <v>0</v>
      </c>
      <c r="H648" s="49"/>
      <c r="I648" s="49">
        <v>15170.77</v>
      </c>
      <c r="J648" s="49"/>
      <c r="K648" s="49">
        <v>6143.61</v>
      </c>
      <c r="L648" s="49"/>
      <c r="M648" s="49">
        <v>0</v>
      </c>
      <c r="N648" s="49"/>
      <c r="O648" s="49">
        <v>6664.19</v>
      </c>
      <c r="P648" s="49"/>
      <c r="Q648" s="49">
        <v>62.48</v>
      </c>
      <c r="R648" s="49"/>
      <c r="S648" s="49">
        <v>1182.8900000000001</v>
      </c>
      <c r="T648" s="49"/>
      <c r="U648" s="49">
        <v>0</v>
      </c>
      <c r="V648" s="49"/>
      <c r="W648" s="49">
        <v>0</v>
      </c>
      <c r="X648" s="49"/>
      <c r="Y648" s="49">
        <v>0</v>
      </c>
      <c r="Z648" s="49"/>
      <c r="AA648" s="49">
        <v>0</v>
      </c>
      <c r="AB648" s="49"/>
      <c r="AC648" s="49">
        <v>0</v>
      </c>
      <c r="AD648" s="49"/>
      <c r="AE648" s="49">
        <v>38.700000000000003</v>
      </c>
      <c r="AF648" s="49"/>
      <c r="AG648" s="49">
        <v>0</v>
      </c>
      <c r="AH648" s="49"/>
      <c r="AI648" s="49">
        <f t="shared" si="30"/>
        <v>41222.43</v>
      </c>
      <c r="AK648" s="6" t="str">
        <f>'Gen Rev'!A648</f>
        <v>West Millgrove</v>
      </c>
      <c r="AL648" s="6" t="str">
        <f t="shared" si="28"/>
        <v>West Millgrove</v>
      </c>
      <c r="AM648" s="6" t="b">
        <f t="shared" si="29"/>
        <v>1</v>
      </c>
    </row>
    <row r="649" spans="1:39" x14ac:dyDescent="0.2">
      <c r="A649" s="6" t="s">
        <v>439</v>
      </c>
      <c r="C649" s="6" t="s">
        <v>437</v>
      </c>
      <c r="E649" s="49">
        <v>275566</v>
      </c>
      <c r="F649" s="49"/>
      <c r="G649" s="49">
        <v>900654</v>
      </c>
      <c r="H649" s="49"/>
      <c r="I649" s="49">
        <v>474184</v>
      </c>
      <c r="J649" s="49"/>
      <c r="K649" s="49">
        <v>2205</v>
      </c>
      <c r="L649" s="49"/>
      <c r="M649" s="49">
        <v>3020</v>
      </c>
      <c r="N649" s="49"/>
      <c r="O649" s="49">
        <v>82036</v>
      </c>
      <c r="P649" s="49"/>
      <c r="Q649" s="49">
        <v>8745</v>
      </c>
      <c r="R649" s="49"/>
      <c r="S649" s="49">
        <v>44243</v>
      </c>
      <c r="T649" s="49"/>
      <c r="U649" s="49">
        <v>0</v>
      </c>
      <c r="V649" s="49"/>
      <c r="W649" s="49">
        <v>0</v>
      </c>
      <c r="X649" s="49"/>
      <c r="Y649" s="49">
        <v>1725</v>
      </c>
      <c r="Z649" s="49"/>
      <c r="AA649" s="49">
        <v>308632</v>
      </c>
      <c r="AB649" s="49"/>
      <c r="AC649" s="49">
        <v>0</v>
      </c>
      <c r="AD649" s="49"/>
      <c r="AE649" s="49">
        <v>56396</v>
      </c>
      <c r="AF649" s="49"/>
      <c r="AG649" s="49">
        <v>0</v>
      </c>
      <c r="AH649" s="49"/>
      <c r="AI649" s="49">
        <f t="shared" si="30"/>
        <v>2157406</v>
      </c>
      <c r="AK649" s="6" t="str">
        <f>'Gen Rev'!A649</f>
        <v>West Milton</v>
      </c>
      <c r="AL649" s="6" t="str">
        <f t="shared" si="28"/>
        <v>West Milton</v>
      </c>
      <c r="AM649" s="6" t="b">
        <f t="shared" si="29"/>
        <v>1</v>
      </c>
    </row>
    <row r="650" spans="1:39" x14ac:dyDescent="0.2">
      <c r="A650" s="6" t="s">
        <v>328</v>
      </c>
      <c r="C650" s="6" t="s">
        <v>327</v>
      </c>
      <c r="E650" s="49">
        <f>3438+931+11+3534+1815+1518+336</f>
        <v>11583</v>
      </c>
      <c r="F650" s="49"/>
      <c r="G650" s="49">
        <v>0</v>
      </c>
      <c r="H650" s="49"/>
      <c r="I650" s="49">
        <v>5580</v>
      </c>
      <c r="J650" s="49"/>
      <c r="K650" s="49">
        <v>0</v>
      </c>
      <c r="L650" s="49"/>
      <c r="M650" s="49">
        <v>0</v>
      </c>
      <c r="N650" s="49"/>
      <c r="O650" s="49">
        <v>0</v>
      </c>
      <c r="P650" s="49"/>
      <c r="Q650" s="49">
        <v>2</v>
      </c>
      <c r="R650" s="49"/>
      <c r="S650" s="49">
        <v>316</v>
      </c>
      <c r="T650" s="49"/>
      <c r="U650" s="49">
        <v>0</v>
      </c>
      <c r="V650" s="49"/>
      <c r="W650" s="49">
        <v>0</v>
      </c>
      <c r="X650" s="49"/>
      <c r="Y650" s="49">
        <v>0</v>
      </c>
      <c r="Z650" s="49"/>
      <c r="AA650" s="49">
        <v>0</v>
      </c>
      <c r="AB650" s="49"/>
      <c r="AC650" s="49">
        <v>0</v>
      </c>
      <c r="AD650" s="49"/>
      <c r="AE650" s="49">
        <v>0</v>
      </c>
      <c r="AF650" s="49"/>
      <c r="AG650" s="49">
        <v>0</v>
      </c>
      <c r="AH650" s="49"/>
      <c r="AI650" s="49">
        <f t="shared" si="30"/>
        <v>17481</v>
      </c>
      <c r="AK650" s="6" t="str">
        <f>'Gen Rev'!A650</f>
        <v>West Rushville</v>
      </c>
      <c r="AL650" s="6" t="str">
        <f t="shared" si="28"/>
        <v>West Rushville</v>
      </c>
      <c r="AM650" s="6" t="b">
        <f t="shared" si="29"/>
        <v>1</v>
      </c>
    </row>
    <row r="651" spans="1:39" x14ac:dyDescent="0.2">
      <c r="A651" s="6" t="s">
        <v>233</v>
      </c>
      <c r="C651" s="6" t="s">
        <v>547</v>
      </c>
      <c r="E651" s="49">
        <v>58173.36</v>
      </c>
      <c r="F651" s="49"/>
      <c r="G651" s="49">
        <v>241914.48</v>
      </c>
      <c r="H651" s="49"/>
      <c r="I651" s="49">
        <v>115812.33</v>
      </c>
      <c r="J651" s="49"/>
      <c r="K651" s="49">
        <v>2633.46</v>
      </c>
      <c r="L651" s="49"/>
      <c r="M651" s="49">
        <v>66683.3</v>
      </c>
      <c r="N651" s="49"/>
      <c r="O651" s="49">
        <v>7723.37</v>
      </c>
      <c r="P651" s="49"/>
      <c r="Q651" s="49">
        <v>1118.43</v>
      </c>
      <c r="R651" s="49"/>
      <c r="S651" s="49">
        <v>14303.48</v>
      </c>
      <c r="T651" s="49"/>
      <c r="U651" s="49">
        <v>40258.53</v>
      </c>
      <c r="V651" s="49"/>
      <c r="W651" s="49">
        <v>148054</v>
      </c>
      <c r="X651" s="49"/>
      <c r="Y651" s="49">
        <v>2000</v>
      </c>
      <c r="Z651" s="49"/>
      <c r="AA651" s="49">
        <v>139920</v>
      </c>
      <c r="AB651" s="49"/>
      <c r="AC651" s="49">
        <v>0</v>
      </c>
      <c r="AD651" s="49"/>
      <c r="AE651" s="49">
        <v>0</v>
      </c>
      <c r="AF651" s="49"/>
      <c r="AG651" s="49">
        <v>0</v>
      </c>
      <c r="AH651" s="49"/>
      <c r="AI651" s="49">
        <f t="shared" si="30"/>
        <v>838594.74</v>
      </c>
      <c r="AK651" s="6" t="str">
        <f>'Gen Rev'!A651</f>
        <v>West Salem</v>
      </c>
      <c r="AL651" s="6" t="str">
        <f t="shared" si="28"/>
        <v>West Salem</v>
      </c>
      <c r="AM651" s="6" t="b">
        <f t="shared" si="29"/>
        <v>1</v>
      </c>
    </row>
    <row r="652" spans="1:39" x14ac:dyDescent="0.2">
      <c r="A652" s="6" t="s">
        <v>0</v>
      </c>
      <c r="C652" s="6" t="s">
        <v>616</v>
      </c>
      <c r="E652" s="49">
        <v>127121.46</v>
      </c>
      <c r="F652" s="49"/>
      <c r="G652" s="49">
        <v>589570.09</v>
      </c>
      <c r="H652" s="49"/>
      <c r="I652" s="49">
        <v>165338.07</v>
      </c>
      <c r="J652" s="49"/>
      <c r="K652" s="49">
        <v>0</v>
      </c>
      <c r="L652" s="49"/>
      <c r="M652" s="49">
        <v>111298.14</v>
      </c>
      <c r="N652" s="49"/>
      <c r="O652" s="49">
        <v>119312.38</v>
      </c>
      <c r="P652" s="49"/>
      <c r="Q652" s="49">
        <v>3398.87</v>
      </c>
      <c r="R652" s="49"/>
      <c r="S652" s="49">
        <v>30563.74</v>
      </c>
      <c r="T652" s="49"/>
      <c r="U652" s="49">
        <v>0</v>
      </c>
      <c r="V652" s="49"/>
      <c r="W652" s="49">
        <v>0</v>
      </c>
      <c r="X652" s="49"/>
      <c r="Y652" s="49">
        <v>0</v>
      </c>
      <c r="Z652" s="49"/>
      <c r="AA652" s="49">
        <v>0</v>
      </c>
      <c r="AB652" s="49"/>
      <c r="AC652" s="49">
        <v>0</v>
      </c>
      <c r="AD652" s="49"/>
      <c r="AE652" s="49">
        <v>0</v>
      </c>
      <c r="AF652" s="49"/>
      <c r="AG652" s="49">
        <v>0</v>
      </c>
      <c r="AH652" s="49"/>
      <c r="AI652" s="49">
        <f t="shared" si="30"/>
        <v>1146602.75</v>
      </c>
      <c r="AK652" s="6" t="str">
        <f>'Gen Rev'!A652</f>
        <v>West Union</v>
      </c>
      <c r="AL652" s="6" t="str">
        <f t="shared" si="28"/>
        <v>West Union</v>
      </c>
      <c r="AM652" s="6" t="b">
        <f t="shared" si="29"/>
        <v>1</v>
      </c>
    </row>
    <row r="653" spans="1:39" x14ac:dyDescent="0.2">
      <c r="A653" s="6" t="s">
        <v>557</v>
      </c>
      <c r="C653" s="6" t="s">
        <v>554</v>
      </c>
      <c r="E653" s="49">
        <v>145883.74</v>
      </c>
      <c r="F653" s="49"/>
      <c r="G653" s="49">
        <v>770498.91</v>
      </c>
      <c r="H653" s="49"/>
      <c r="I653" s="49">
        <v>196403.89</v>
      </c>
      <c r="J653" s="49"/>
      <c r="K653" s="49">
        <v>0</v>
      </c>
      <c r="L653" s="49"/>
      <c r="M653" s="49">
        <v>815</v>
      </c>
      <c r="N653" s="49"/>
      <c r="O653" s="49">
        <v>28906.53</v>
      </c>
      <c r="P653" s="49"/>
      <c r="Q653" s="49">
        <v>2474.27</v>
      </c>
      <c r="R653" s="49"/>
      <c r="S653" s="49">
        <v>35939.46</v>
      </c>
      <c r="T653" s="49"/>
      <c r="U653" s="49">
        <v>0</v>
      </c>
      <c r="V653" s="49"/>
      <c r="W653" s="49">
        <v>0</v>
      </c>
      <c r="X653" s="49"/>
      <c r="Y653" s="49">
        <v>0</v>
      </c>
      <c r="Z653" s="49"/>
      <c r="AA653" s="49">
        <v>0</v>
      </c>
      <c r="AB653" s="49"/>
      <c r="AC653" s="49">
        <v>0</v>
      </c>
      <c r="AD653" s="49"/>
      <c r="AE653" s="49">
        <v>0</v>
      </c>
      <c r="AF653" s="49"/>
      <c r="AG653" s="49">
        <v>0</v>
      </c>
      <c r="AH653" s="49"/>
      <c r="AI653" s="49">
        <f t="shared" si="30"/>
        <v>1180921.8</v>
      </c>
      <c r="AK653" s="6" t="str">
        <f>'Gen Rev'!A653</f>
        <v>West Unity</v>
      </c>
      <c r="AL653" s="6" t="str">
        <f t="shared" si="28"/>
        <v>West Unity</v>
      </c>
      <c r="AM653" s="6" t="b">
        <f t="shared" si="29"/>
        <v>1</v>
      </c>
    </row>
    <row r="654" spans="1:39" x14ac:dyDescent="0.2">
      <c r="A654" s="6" t="s">
        <v>853</v>
      </c>
      <c r="C654" s="6" t="s">
        <v>823</v>
      </c>
      <c r="E654" s="49">
        <v>130276.2</v>
      </c>
      <c r="F654" s="49"/>
      <c r="G654" s="49">
        <v>1218644.96</v>
      </c>
      <c r="H654" s="49"/>
      <c r="I654" s="49">
        <v>196448.41</v>
      </c>
      <c r="J654" s="49"/>
      <c r="K654" s="49">
        <v>0</v>
      </c>
      <c r="L654" s="49"/>
      <c r="M654" s="49">
        <v>5067.8900000000003</v>
      </c>
      <c r="N654" s="49"/>
      <c r="O654" s="49">
        <v>4284</v>
      </c>
      <c r="P654" s="49"/>
      <c r="Q654" s="49">
        <v>0</v>
      </c>
      <c r="R654" s="49"/>
      <c r="S654" s="49">
        <v>70110.28</v>
      </c>
      <c r="T654" s="49"/>
      <c r="U654" s="49">
        <v>0</v>
      </c>
      <c r="V654" s="49"/>
      <c r="W654" s="49">
        <v>0</v>
      </c>
      <c r="X654" s="49"/>
      <c r="Y654" s="49">
        <v>0</v>
      </c>
      <c r="Z654" s="49"/>
      <c r="AA654" s="49">
        <v>50000</v>
      </c>
      <c r="AB654" s="49"/>
      <c r="AC654" s="49">
        <v>0</v>
      </c>
      <c r="AD654" s="49"/>
      <c r="AE654" s="49">
        <v>0</v>
      </c>
      <c r="AF654" s="49"/>
      <c r="AG654" s="49">
        <v>100000</v>
      </c>
      <c r="AH654" s="49"/>
      <c r="AI654" s="49">
        <f t="shared" si="30"/>
        <v>1774831.7399999998</v>
      </c>
      <c r="AK654" s="6" t="str">
        <f>'Gen Rev'!A654</f>
        <v>Westfield Center</v>
      </c>
      <c r="AL654" s="6" t="str">
        <f t="shared" si="28"/>
        <v>Westfield Center</v>
      </c>
      <c r="AM654" s="6" t="b">
        <f t="shared" si="29"/>
        <v>1</v>
      </c>
    </row>
    <row r="655" spans="1:39" x14ac:dyDescent="0.2">
      <c r="A655" s="6" t="s">
        <v>245</v>
      </c>
      <c r="C655" s="6" t="s">
        <v>558</v>
      </c>
      <c r="E655" s="49">
        <v>48330.26</v>
      </c>
      <c r="F655" s="49"/>
      <c r="G655" s="49">
        <v>210029.96</v>
      </c>
      <c r="H655" s="49"/>
      <c r="I655" s="49">
        <v>133253.57999999999</v>
      </c>
      <c r="J655" s="49"/>
      <c r="K655" s="49">
        <v>22356.59</v>
      </c>
      <c r="L655" s="49"/>
      <c r="M655" s="49">
        <v>149845.35999999999</v>
      </c>
      <c r="N655" s="49"/>
      <c r="O655" s="49">
        <v>6349.94</v>
      </c>
      <c r="P655" s="49"/>
      <c r="Q655" s="49">
        <v>2169.8200000000002</v>
      </c>
      <c r="R655" s="49"/>
      <c r="S655" s="49">
        <v>16441.400000000001</v>
      </c>
      <c r="T655" s="49"/>
      <c r="U655" s="49">
        <v>0</v>
      </c>
      <c r="V655" s="49"/>
      <c r="W655" s="49">
        <v>0</v>
      </c>
      <c r="X655" s="49"/>
      <c r="Y655" s="49">
        <v>305</v>
      </c>
      <c r="Z655" s="49"/>
      <c r="AA655" s="49">
        <v>0</v>
      </c>
      <c r="AB655" s="49"/>
      <c r="AC655" s="49">
        <v>0</v>
      </c>
      <c r="AD655" s="49"/>
      <c r="AE655" s="49">
        <v>0</v>
      </c>
      <c r="AF655" s="49"/>
      <c r="AG655" s="49">
        <v>0</v>
      </c>
      <c r="AH655" s="49"/>
      <c r="AI655" s="49">
        <f t="shared" si="30"/>
        <v>589081.90999999992</v>
      </c>
      <c r="AK655" s="6" t="str">
        <f>'Gen Rev'!A655</f>
        <v>Weston</v>
      </c>
      <c r="AL655" s="6" t="str">
        <f t="shared" si="28"/>
        <v>Weston</v>
      </c>
      <c r="AM655" s="6" t="b">
        <f t="shared" si="29"/>
        <v>1</v>
      </c>
    </row>
    <row r="656" spans="1:39" x14ac:dyDescent="0.2">
      <c r="A656" s="6" t="s">
        <v>780</v>
      </c>
      <c r="C656" s="6" t="s">
        <v>566</v>
      </c>
      <c r="E656" s="49">
        <v>2379</v>
      </c>
      <c r="F656" s="49"/>
      <c r="G656" s="49">
        <v>0</v>
      </c>
      <c r="H656" s="49"/>
      <c r="I656" s="49">
        <v>42483</v>
      </c>
      <c r="J656" s="49"/>
      <c r="K656" s="49">
        <v>0</v>
      </c>
      <c r="L656" s="49"/>
      <c r="M656" s="49">
        <v>0</v>
      </c>
      <c r="N656" s="49"/>
      <c r="O656" s="49">
        <v>0</v>
      </c>
      <c r="P656" s="49"/>
      <c r="Q656" s="49">
        <v>356</v>
      </c>
      <c r="R656" s="49"/>
      <c r="S656" s="49">
        <v>11670</v>
      </c>
      <c r="T656" s="49"/>
      <c r="U656" s="49">
        <v>0</v>
      </c>
      <c r="V656" s="49"/>
      <c r="W656" s="49">
        <v>0</v>
      </c>
      <c r="X656" s="49"/>
      <c r="Y656" s="49">
        <v>0</v>
      </c>
      <c r="Z656" s="49"/>
      <c r="AA656" s="49">
        <v>0</v>
      </c>
      <c r="AB656" s="49"/>
      <c r="AC656" s="49">
        <v>0</v>
      </c>
      <c r="AD656" s="49"/>
      <c r="AE656" s="49">
        <v>0</v>
      </c>
      <c r="AF656" s="49"/>
      <c r="AG656" s="49">
        <v>0</v>
      </c>
      <c r="AH656" s="49"/>
      <c r="AI656" s="49">
        <f t="shared" si="30"/>
        <v>56888</v>
      </c>
      <c r="AK656" s="6" t="str">
        <f>'Gen Rev'!A656</f>
        <v>Wharton</v>
      </c>
      <c r="AL656" s="6" t="str">
        <f t="shared" si="28"/>
        <v>Wharton</v>
      </c>
      <c r="AM656" s="6" t="b">
        <f t="shared" si="29"/>
        <v>1</v>
      </c>
    </row>
    <row r="657" spans="1:39" x14ac:dyDescent="0.2">
      <c r="A657" s="6" t="s">
        <v>425</v>
      </c>
      <c r="C657" s="6" t="s">
        <v>423</v>
      </c>
      <c r="E657" s="49">
        <v>2521890</v>
      </c>
      <c r="F657" s="49"/>
      <c r="G657" s="49">
        <v>0</v>
      </c>
      <c r="H657" s="49"/>
      <c r="I657" s="49">
        <v>1222691</v>
      </c>
      <c r="J657" s="49"/>
      <c r="K657" s="49">
        <v>36667</v>
      </c>
      <c r="L657" s="49"/>
      <c r="M657" s="49">
        <v>286864</v>
      </c>
      <c r="N657" s="49"/>
      <c r="O657" s="49">
        <v>91480</v>
      </c>
      <c r="P657" s="49"/>
      <c r="Q657" s="49">
        <v>0</v>
      </c>
      <c r="R657" s="49"/>
      <c r="S657" s="49">
        <v>147214</v>
      </c>
      <c r="T657" s="49"/>
      <c r="U657" s="49">
        <v>0</v>
      </c>
      <c r="V657" s="49"/>
      <c r="W657" s="49">
        <v>0</v>
      </c>
      <c r="X657" s="49"/>
      <c r="Y657" s="49">
        <v>22052</v>
      </c>
      <c r="Z657" s="49"/>
      <c r="AA657" s="49">
        <v>2982055</v>
      </c>
      <c r="AB657" s="49"/>
      <c r="AC657" s="49">
        <v>0</v>
      </c>
      <c r="AD657" s="49"/>
      <c r="AE657" s="49">
        <v>1507162</v>
      </c>
      <c r="AF657" s="49"/>
      <c r="AG657" s="49">
        <v>0</v>
      </c>
      <c r="AH657" s="49"/>
      <c r="AI657" s="49">
        <f t="shared" si="30"/>
        <v>8818075</v>
      </c>
      <c r="AK657" s="6" t="str">
        <f>'Gen Rev'!A657</f>
        <v>Whitehouse</v>
      </c>
      <c r="AL657" s="6" t="str">
        <f t="shared" si="28"/>
        <v>Whitehouse</v>
      </c>
      <c r="AM657" s="6" t="b">
        <f t="shared" si="29"/>
        <v>1</v>
      </c>
    </row>
    <row r="658" spans="1:39" x14ac:dyDescent="0.2">
      <c r="A658" s="6" t="s">
        <v>537</v>
      </c>
      <c r="C658" s="6" t="s">
        <v>77</v>
      </c>
      <c r="E658" s="49">
        <v>6444</v>
      </c>
      <c r="F658" s="49"/>
      <c r="G658" s="49">
        <v>8909</v>
      </c>
      <c r="H658" s="49"/>
      <c r="I658" s="49">
        <v>2742</v>
      </c>
      <c r="J658" s="49"/>
      <c r="K658" s="49">
        <v>0</v>
      </c>
      <c r="L658" s="49"/>
      <c r="M658" s="49">
        <v>0</v>
      </c>
      <c r="N658" s="49"/>
      <c r="O658" s="49">
        <v>0</v>
      </c>
      <c r="P658" s="49"/>
      <c r="Q658" s="49">
        <v>53</v>
      </c>
      <c r="R658" s="49"/>
      <c r="S658" s="49">
        <v>354</v>
      </c>
      <c r="T658" s="49"/>
      <c r="U658" s="49">
        <v>0</v>
      </c>
      <c r="V658" s="49"/>
      <c r="W658" s="49">
        <v>0</v>
      </c>
      <c r="X658" s="49"/>
      <c r="Y658" s="49">
        <v>0</v>
      </c>
      <c r="Z658" s="49"/>
      <c r="AA658" s="49">
        <v>0</v>
      </c>
      <c r="AB658" s="49"/>
      <c r="AC658" s="49">
        <v>0</v>
      </c>
      <c r="AD658" s="49"/>
      <c r="AE658" s="49">
        <v>0</v>
      </c>
      <c r="AF658" s="49"/>
      <c r="AG658" s="49">
        <v>0</v>
      </c>
      <c r="AH658" s="49"/>
      <c r="AI658" s="49">
        <f t="shared" si="30"/>
        <v>18502</v>
      </c>
      <c r="AK658" s="6" t="str">
        <f>'Gen Rev'!A658</f>
        <v>Wilkesville</v>
      </c>
      <c r="AL658" s="6" t="str">
        <f t="shared" si="28"/>
        <v>Wilkesville</v>
      </c>
      <c r="AM658" s="6" t="b">
        <f t="shared" si="29"/>
        <v>1</v>
      </c>
    </row>
    <row r="659" spans="1:39" x14ac:dyDescent="0.2">
      <c r="A659" s="6" t="s">
        <v>39</v>
      </c>
      <c r="C659" s="6" t="s">
        <v>277</v>
      </c>
      <c r="E659" s="49">
        <v>151326.91</v>
      </c>
      <c r="F659" s="49"/>
      <c r="G659" s="49">
        <v>458321.29</v>
      </c>
      <c r="H659" s="49"/>
      <c r="I659" s="49">
        <v>127468.49</v>
      </c>
      <c r="J659" s="49"/>
      <c r="K659" s="49">
        <v>0</v>
      </c>
      <c r="L659" s="49"/>
      <c r="M659" s="49">
        <v>58865.61</v>
      </c>
      <c r="N659" s="49"/>
      <c r="O659" s="49">
        <v>55798.97</v>
      </c>
      <c r="P659" s="49"/>
      <c r="Q659" s="49">
        <v>643.75</v>
      </c>
      <c r="R659" s="49"/>
      <c r="S659" s="49">
        <v>8771.1200000000008</v>
      </c>
      <c r="T659" s="49"/>
      <c r="U659" s="49">
        <v>0</v>
      </c>
      <c r="V659" s="49"/>
      <c r="W659" s="49">
        <v>0</v>
      </c>
      <c r="X659" s="49"/>
      <c r="Y659" s="49">
        <v>0</v>
      </c>
      <c r="Z659" s="49"/>
      <c r="AA659" s="49">
        <v>125003.4</v>
      </c>
      <c r="AB659" s="49"/>
      <c r="AC659" s="49">
        <v>0</v>
      </c>
      <c r="AD659" s="49"/>
      <c r="AE659" s="49">
        <v>0</v>
      </c>
      <c r="AF659" s="49"/>
      <c r="AG659" s="49">
        <v>0</v>
      </c>
      <c r="AH659" s="49"/>
      <c r="AI659" s="49">
        <f t="shared" si="30"/>
        <v>986199.53999999992</v>
      </c>
      <c r="AK659" s="6" t="str">
        <f>'Gen Rev'!A659</f>
        <v>Williamsburg</v>
      </c>
      <c r="AL659" s="6" t="str">
        <f t="shared" si="28"/>
        <v>Williamsburg</v>
      </c>
      <c r="AM659" s="6" t="b">
        <f t="shared" si="29"/>
        <v>1</v>
      </c>
    </row>
    <row r="660" spans="1:39" x14ac:dyDescent="0.2">
      <c r="A660" s="6" t="s">
        <v>177</v>
      </c>
      <c r="C660" s="6" t="s">
        <v>467</v>
      </c>
      <c r="E660" s="49">
        <v>76009.17</v>
      </c>
      <c r="F660" s="49"/>
      <c r="G660" s="49">
        <v>0</v>
      </c>
      <c r="H660" s="49"/>
      <c r="I660" s="49">
        <v>64506.47</v>
      </c>
      <c r="J660" s="49"/>
      <c r="K660" s="49">
        <v>0</v>
      </c>
      <c r="L660" s="49"/>
      <c r="M660" s="49">
        <v>0</v>
      </c>
      <c r="N660" s="49"/>
      <c r="O660" s="49">
        <v>331.64</v>
      </c>
      <c r="P660" s="49"/>
      <c r="Q660" s="49">
        <v>1565.53</v>
      </c>
      <c r="R660" s="49"/>
      <c r="S660" s="49">
        <v>18414.55</v>
      </c>
      <c r="T660" s="49"/>
      <c r="U660" s="49">
        <v>0</v>
      </c>
      <c r="V660" s="49"/>
      <c r="W660" s="49">
        <v>0</v>
      </c>
      <c r="X660" s="49"/>
      <c r="Y660" s="49">
        <v>0</v>
      </c>
      <c r="Z660" s="49"/>
      <c r="AA660" s="49">
        <v>0</v>
      </c>
      <c r="AB660" s="49"/>
      <c r="AC660" s="49">
        <v>0</v>
      </c>
      <c r="AD660" s="49"/>
      <c r="AE660" s="49">
        <v>0</v>
      </c>
      <c r="AF660" s="49"/>
      <c r="AG660" s="49">
        <v>0</v>
      </c>
      <c r="AH660" s="49"/>
      <c r="AI660" s="49">
        <f t="shared" si="30"/>
        <v>160827.36000000002</v>
      </c>
      <c r="AK660" s="6" t="str">
        <f>'Gen Rev'!A660</f>
        <v>Williamsport</v>
      </c>
      <c r="AL660" s="6" t="str">
        <f t="shared" si="28"/>
        <v>Williamsport</v>
      </c>
      <c r="AM660" s="6" t="b">
        <f t="shared" si="29"/>
        <v>1</v>
      </c>
    </row>
    <row r="661" spans="1:39" x14ac:dyDescent="0.2">
      <c r="A661" s="6" t="s">
        <v>536</v>
      </c>
      <c r="C661" s="6" t="s">
        <v>532</v>
      </c>
      <c r="E661" s="49">
        <v>34181.08</v>
      </c>
      <c r="F661" s="49"/>
      <c r="G661" s="49">
        <v>45734.61</v>
      </c>
      <c r="H661" s="49"/>
      <c r="I661" s="49">
        <v>45185.86</v>
      </c>
      <c r="J661" s="49"/>
      <c r="K661" s="49">
        <v>0</v>
      </c>
      <c r="L661" s="49"/>
      <c r="M661" s="49">
        <v>32083.33</v>
      </c>
      <c r="N661" s="49"/>
      <c r="O661" s="49">
        <v>3199.14</v>
      </c>
      <c r="P661" s="49"/>
      <c r="Q661" s="49">
        <v>235.2</v>
      </c>
      <c r="R661" s="49"/>
      <c r="S661" s="49">
        <v>6944.04</v>
      </c>
      <c r="T661" s="49"/>
      <c r="U661" s="49">
        <v>0</v>
      </c>
      <c r="V661" s="49"/>
      <c r="W661" s="49">
        <v>0</v>
      </c>
      <c r="X661" s="49"/>
      <c r="Y661" s="49">
        <v>0</v>
      </c>
      <c r="Z661" s="49"/>
      <c r="AA661" s="49">
        <v>0</v>
      </c>
      <c r="AB661" s="49"/>
      <c r="AC661" s="49">
        <v>0</v>
      </c>
      <c r="AD661" s="49"/>
      <c r="AE661" s="49">
        <v>0</v>
      </c>
      <c r="AF661" s="49"/>
      <c r="AG661" s="49">
        <v>0</v>
      </c>
      <c r="AH661" s="49"/>
      <c r="AI661" s="49">
        <f t="shared" si="30"/>
        <v>167563.26000000004</v>
      </c>
      <c r="AK661" s="6" t="str">
        <f>'Gen Rev'!A661</f>
        <v>Willshire</v>
      </c>
      <c r="AL661" s="6" t="str">
        <f t="shared" si="28"/>
        <v>Willshire</v>
      </c>
      <c r="AM661" s="6" t="b">
        <f t="shared" si="29"/>
        <v>1</v>
      </c>
    </row>
    <row r="662" spans="1:39" x14ac:dyDescent="0.2">
      <c r="A662" s="6" t="s">
        <v>728</v>
      </c>
      <c r="C662" s="6" t="s">
        <v>502</v>
      </c>
      <c r="E662" s="49">
        <v>11088.38</v>
      </c>
      <c r="F662" s="49"/>
      <c r="G662" s="49">
        <v>96631.88</v>
      </c>
      <c r="H662" s="49"/>
      <c r="I662" s="49">
        <v>15912.84</v>
      </c>
      <c r="J662" s="49"/>
      <c r="K662" s="49">
        <v>0</v>
      </c>
      <c r="L662" s="49"/>
      <c r="M662" s="49">
        <v>0</v>
      </c>
      <c r="N662" s="49"/>
      <c r="O662" s="49">
        <v>2089.9899999999998</v>
      </c>
      <c r="P662" s="49"/>
      <c r="Q662" s="49">
        <v>30.14</v>
      </c>
      <c r="R662" s="49"/>
      <c r="S662" s="49">
        <v>8398.83</v>
      </c>
      <c r="T662" s="49"/>
      <c r="U662" s="49">
        <v>0</v>
      </c>
      <c r="V662" s="49"/>
      <c r="W662" s="49">
        <v>0</v>
      </c>
      <c r="X662" s="49"/>
      <c r="Y662" s="49">
        <v>0</v>
      </c>
      <c r="Z662" s="49"/>
      <c r="AA662" s="49">
        <v>0</v>
      </c>
      <c r="AB662" s="49"/>
      <c r="AC662" s="49">
        <v>0</v>
      </c>
      <c r="AD662" s="49"/>
      <c r="AE662" s="49">
        <v>0</v>
      </c>
      <c r="AF662" s="49"/>
      <c r="AG662" s="49">
        <v>0</v>
      </c>
      <c r="AH662" s="49"/>
      <c r="AI662" s="49">
        <f t="shared" si="30"/>
        <v>134152.06</v>
      </c>
      <c r="AK662" s="6" t="str">
        <f>'Gen Rev'!A662</f>
        <v>Wilmot</v>
      </c>
      <c r="AL662" s="6" t="str">
        <f t="shared" si="28"/>
        <v>Wilmot</v>
      </c>
      <c r="AM662" s="6" t="b">
        <f t="shared" si="29"/>
        <v>1</v>
      </c>
    </row>
    <row r="663" spans="1:39" x14ac:dyDescent="0.2">
      <c r="A663" s="6" t="s">
        <v>445</v>
      </c>
      <c r="C663" s="6" t="s">
        <v>441</v>
      </c>
      <c r="E663" s="49">
        <f>3079+7281</f>
        <v>10360</v>
      </c>
      <c r="F663" s="49"/>
      <c r="G663" s="49">
        <v>0</v>
      </c>
      <c r="H663" s="49"/>
      <c r="I663" s="49">
        <f>5143+4390</f>
        <v>9533</v>
      </c>
      <c r="J663" s="49"/>
      <c r="K663" s="49">
        <v>0</v>
      </c>
      <c r="L663" s="49"/>
      <c r="M663" s="49">
        <v>3000</v>
      </c>
      <c r="N663" s="49"/>
      <c r="O663" s="49">
        <v>325</v>
      </c>
      <c r="P663" s="49"/>
      <c r="Q663" s="49">
        <f>46+23</f>
        <v>69</v>
      </c>
      <c r="R663" s="49"/>
      <c r="S663" s="49">
        <v>0</v>
      </c>
      <c r="T663" s="49"/>
      <c r="U663" s="49">
        <v>0</v>
      </c>
      <c r="V663" s="49"/>
      <c r="W663" s="49">
        <v>0</v>
      </c>
      <c r="X663" s="49"/>
      <c r="Y663" s="49">
        <v>0</v>
      </c>
      <c r="Z663" s="49"/>
      <c r="AA663" s="49">
        <v>0</v>
      </c>
      <c r="AB663" s="49"/>
      <c r="AC663" s="49">
        <v>0</v>
      </c>
      <c r="AD663" s="49"/>
      <c r="AE663" s="49">
        <v>0</v>
      </c>
      <c r="AF663" s="49"/>
      <c r="AG663" s="49">
        <v>0</v>
      </c>
      <c r="AH663" s="49"/>
      <c r="AI663" s="49">
        <f t="shared" si="30"/>
        <v>23287</v>
      </c>
      <c r="AK663" s="6" t="str">
        <f>'Gen Rev'!A663</f>
        <v>Wilson</v>
      </c>
      <c r="AL663" s="6" t="str">
        <f t="shared" si="28"/>
        <v>Wilson</v>
      </c>
      <c r="AM663" s="6" t="b">
        <f t="shared" si="29"/>
        <v>1</v>
      </c>
    </row>
    <row r="664" spans="1:39" x14ac:dyDescent="0.2">
      <c r="A664" s="6" t="s">
        <v>1</v>
      </c>
      <c r="C664" s="6" t="s">
        <v>616</v>
      </c>
      <c r="E664" s="49">
        <v>148309.29</v>
      </c>
      <c r="F664" s="49"/>
      <c r="G664" s="49">
        <v>0</v>
      </c>
      <c r="H664" s="49"/>
      <c r="I664" s="49">
        <v>63206.38</v>
      </c>
      <c r="J664" s="49"/>
      <c r="K664" s="49">
        <v>0</v>
      </c>
      <c r="L664" s="49"/>
      <c r="M664" s="49">
        <v>0</v>
      </c>
      <c r="N664" s="49"/>
      <c r="O664" s="49">
        <v>89046.41</v>
      </c>
      <c r="P664" s="49"/>
      <c r="Q664" s="49">
        <v>672.9</v>
      </c>
      <c r="R664" s="49"/>
      <c r="S664" s="49">
        <v>23384.65</v>
      </c>
      <c r="T664" s="49"/>
      <c r="U664" s="49">
        <v>0</v>
      </c>
      <c r="V664" s="49"/>
      <c r="W664" s="49">
        <v>0</v>
      </c>
      <c r="X664" s="49"/>
      <c r="Y664" s="49">
        <v>0</v>
      </c>
      <c r="Z664" s="49"/>
      <c r="AA664" s="49">
        <v>0</v>
      </c>
      <c r="AB664" s="49"/>
      <c r="AC664" s="49">
        <v>20000</v>
      </c>
      <c r="AD664" s="49"/>
      <c r="AE664" s="49">
        <v>0</v>
      </c>
      <c r="AF664" s="49"/>
      <c r="AG664" s="49">
        <v>0</v>
      </c>
      <c r="AH664" s="49"/>
      <c r="AI664" s="49">
        <f t="shared" si="30"/>
        <v>344619.63000000006</v>
      </c>
      <c r="AK664" s="6" t="str">
        <f>'Gen Rev'!A664</f>
        <v>Winchester</v>
      </c>
      <c r="AL664" s="6" t="str">
        <f t="shared" si="28"/>
        <v>Winchester</v>
      </c>
      <c r="AM664" s="6" t="b">
        <f t="shared" si="29"/>
        <v>1</v>
      </c>
    </row>
    <row r="665" spans="1:39" x14ac:dyDescent="0.2">
      <c r="A665" s="6" t="s">
        <v>182</v>
      </c>
      <c r="C665" s="6" t="s">
        <v>241</v>
      </c>
      <c r="E665" s="49">
        <v>73727.839999999997</v>
      </c>
      <c r="F665" s="49"/>
      <c r="G665" s="49">
        <v>436084.93</v>
      </c>
      <c r="H665" s="49"/>
      <c r="I665" s="49">
        <v>410951.86</v>
      </c>
      <c r="J665" s="49"/>
      <c r="K665" s="49">
        <v>0</v>
      </c>
      <c r="L665" s="49"/>
      <c r="M665" s="49">
        <v>5000</v>
      </c>
      <c r="N665" s="49"/>
      <c r="O665" s="49">
        <v>47262.78</v>
      </c>
      <c r="P665" s="49"/>
      <c r="Q665" s="49">
        <v>256.70999999999998</v>
      </c>
      <c r="R665" s="49"/>
      <c r="S665" s="49">
        <v>455.6</v>
      </c>
      <c r="T665" s="49"/>
      <c r="U665" s="49">
        <v>0</v>
      </c>
      <c r="V665" s="49"/>
      <c r="W665" s="49">
        <v>0</v>
      </c>
      <c r="X665" s="49"/>
      <c r="Y665" s="49">
        <v>0</v>
      </c>
      <c r="Z665" s="49"/>
      <c r="AA665" s="49">
        <v>27883.8</v>
      </c>
      <c r="AB665" s="49"/>
      <c r="AC665" s="49">
        <v>0</v>
      </c>
      <c r="AD665" s="49"/>
      <c r="AE665" s="49">
        <v>36550.639999999999</v>
      </c>
      <c r="AF665" s="49"/>
      <c r="AG665" s="49">
        <v>0</v>
      </c>
      <c r="AH665" s="49"/>
      <c r="AI665" s="49">
        <f t="shared" si="30"/>
        <v>1038174.16</v>
      </c>
      <c r="AK665" s="6" t="str">
        <f>'Gen Rev'!A665</f>
        <v>Windham</v>
      </c>
      <c r="AL665" s="6" t="str">
        <f t="shared" si="28"/>
        <v>Windham</v>
      </c>
      <c r="AM665" s="6" t="b">
        <f t="shared" si="29"/>
        <v>1</v>
      </c>
    </row>
    <row r="666" spans="1:39" x14ac:dyDescent="0.2">
      <c r="A666" s="6" t="s">
        <v>729</v>
      </c>
      <c r="C666" s="6" t="s">
        <v>390</v>
      </c>
      <c r="E666" s="49">
        <v>510444.97</v>
      </c>
      <c r="F666" s="49"/>
      <c r="G666" s="49">
        <v>983645.74</v>
      </c>
      <c r="H666" s="49"/>
      <c r="I666" s="49">
        <v>910054.63</v>
      </c>
      <c r="J666" s="49"/>
      <c r="K666" s="49">
        <v>22182.560000000001</v>
      </c>
      <c r="L666" s="49"/>
      <c r="M666" s="49">
        <v>55959.63</v>
      </c>
      <c r="N666" s="49"/>
      <c r="O666" s="49">
        <v>91553.88</v>
      </c>
      <c r="P666" s="49"/>
      <c r="Q666" s="49">
        <v>498.15</v>
      </c>
      <c r="R666" s="49"/>
      <c r="S666" s="49">
        <v>21508.28</v>
      </c>
      <c r="T666" s="49"/>
      <c r="U666" s="49">
        <v>0</v>
      </c>
      <c r="V666" s="49"/>
      <c r="W666" s="49">
        <v>0</v>
      </c>
      <c r="X666" s="49"/>
      <c r="Y666" s="49">
        <v>0</v>
      </c>
      <c r="Z666" s="49"/>
      <c r="AA666" s="49">
        <v>172585.87</v>
      </c>
      <c r="AB666" s="49"/>
      <c r="AC666" s="49">
        <v>161000</v>
      </c>
      <c r="AD666" s="49"/>
      <c r="AE666" s="49">
        <v>7542.88</v>
      </c>
      <c r="AF666" s="49"/>
      <c r="AG666" s="49">
        <v>0</v>
      </c>
      <c r="AH666" s="49"/>
      <c r="AI666" s="49">
        <f t="shared" si="30"/>
        <v>2936976.5899999994</v>
      </c>
      <c r="AK666" s="6" t="str">
        <f>'Gen Rev'!A666</f>
        <v>Wintersville</v>
      </c>
      <c r="AL666" s="6" t="str">
        <f t="shared" si="28"/>
        <v>Wintersville</v>
      </c>
      <c r="AM666" s="6" t="b">
        <f t="shared" si="29"/>
        <v>1</v>
      </c>
    </row>
    <row r="667" spans="1:39" x14ac:dyDescent="0.2">
      <c r="A667" s="6" t="s">
        <v>358</v>
      </c>
      <c r="C667" s="6" t="s">
        <v>351</v>
      </c>
      <c r="E667" s="49">
        <v>528862</v>
      </c>
      <c r="F667" s="49"/>
      <c r="G667" s="49">
        <v>4706976</v>
      </c>
      <c r="H667" s="49"/>
      <c r="I667" s="49">
        <v>778882</v>
      </c>
      <c r="J667" s="49"/>
      <c r="K667" s="49">
        <v>0</v>
      </c>
      <c r="L667" s="49"/>
      <c r="M667" s="49">
        <v>285335</v>
      </c>
      <c r="N667" s="49"/>
      <c r="O667" s="49">
        <v>200159</v>
      </c>
      <c r="P667" s="49"/>
      <c r="Q667" s="49">
        <v>131</v>
      </c>
      <c r="R667" s="49"/>
      <c r="S667" s="49">
        <f>48121+12605</f>
        <v>60726</v>
      </c>
      <c r="T667" s="49"/>
      <c r="U667" s="49">
        <v>0</v>
      </c>
      <c r="V667" s="49"/>
      <c r="W667" s="49">
        <v>0</v>
      </c>
      <c r="X667" s="49"/>
      <c r="Y667" s="49">
        <v>0</v>
      </c>
      <c r="Z667" s="49"/>
      <c r="AA667" s="49">
        <v>499630</v>
      </c>
      <c r="AB667" s="49"/>
      <c r="AC667" s="49">
        <v>0</v>
      </c>
      <c r="AD667" s="49"/>
      <c r="AE667" s="49">
        <v>0</v>
      </c>
      <c r="AF667" s="49"/>
      <c r="AG667" s="49">
        <v>0</v>
      </c>
      <c r="AH667" s="49"/>
      <c r="AI667" s="49">
        <f t="shared" si="30"/>
        <v>7060701</v>
      </c>
      <c r="AK667" s="6" t="str">
        <f>'Gen Rev'!A667</f>
        <v>Woodlawn</v>
      </c>
      <c r="AL667" s="6" t="str">
        <f t="shared" si="28"/>
        <v>Woodlawn</v>
      </c>
      <c r="AM667" s="6" t="b">
        <f t="shared" si="29"/>
        <v>1</v>
      </c>
    </row>
    <row r="668" spans="1:39" x14ac:dyDescent="0.2">
      <c r="A668" s="6" t="s">
        <v>304</v>
      </c>
      <c r="C668" s="6" t="s">
        <v>293</v>
      </c>
      <c r="E668" s="49">
        <v>2650087</v>
      </c>
      <c r="F668" s="49"/>
      <c r="G668" s="49">
        <v>0</v>
      </c>
      <c r="H668" s="49"/>
      <c r="I668" s="49">
        <v>408977</v>
      </c>
      <c r="J668" s="49"/>
      <c r="K668" s="49">
        <v>166730</v>
      </c>
      <c r="L668" s="49"/>
      <c r="M668" s="49">
        <v>42719</v>
      </c>
      <c r="N668" s="49"/>
      <c r="O668" s="49">
        <v>189328</v>
      </c>
      <c r="P668" s="49"/>
      <c r="Q668" s="49">
        <v>0</v>
      </c>
      <c r="R668" s="49"/>
      <c r="S668" s="49">
        <v>61071</v>
      </c>
      <c r="T668" s="49"/>
      <c r="U668" s="49">
        <v>0</v>
      </c>
      <c r="V668" s="49"/>
      <c r="W668" s="49">
        <v>238000</v>
      </c>
      <c r="X668" s="49"/>
      <c r="Y668" s="49">
        <v>0</v>
      </c>
      <c r="Z668" s="49"/>
      <c r="AA668" s="49">
        <v>75000</v>
      </c>
      <c r="AB668" s="49"/>
      <c r="AC668" s="49">
        <v>0</v>
      </c>
      <c r="AD668" s="49"/>
      <c r="AE668" s="49">
        <v>363498</v>
      </c>
      <c r="AF668" s="49"/>
      <c r="AG668" s="49">
        <v>0</v>
      </c>
      <c r="AH668" s="49"/>
      <c r="AI668" s="49">
        <f t="shared" si="30"/>
        <v>4195410</v>
      </c>
      <c r="AK668" s="6" t="str">
        <f>'Gen Rev'!A668</f>
        <v>Woodmere</v>
      </c>
      <c r="AL668" s="6" t="str">
        <f t="shared" si="28"/>
        <v>Woodmere</v>
      </c>
      <c r="AM668" s="6" t="b">
        <f t="shared" si="29"/>
        <v>1</v>
      </c>
    </row>
    <row r="669" spans="1:39" x14ac:dyDescent="0.2">
      <c r="A669" s="6" t="s">
        <v>152</v>
      </c>
      <c r="C669" s="6" t="s">
        <v>441</v>
      </c>
      <c r="E669" s="49">
        <v>38838.559999999998</v>
      </c>
      <c r="F669" s="49"/>
      <c r="G669" s="49">
        <v>547745.1</v>
      </c>
      <c r="H669" s="49"/>
      <c r="I669" s="49">
        <v>224813.35</v>
      </c>
      <c r="J669" s="49"/>
      <c r="K669" s="49">
        <v>0</v>
      </c>
      <c r="L669" s="49"/>
      <c r="M669" s="49">
        <v>241421.6</v>
      </c>
      <c r="N669" s="49"/>
      <c r="O669" s="49">
        <v>38841.5</v>
      </c>
      <c r="P669" s="49"/>
      <c r="Q669" s="49">
        <v>52202.45</v>
      </c>
      <c r="R669" s="49"/>
      <c r="S669" s="49">
        <v>37023.18</v>
      </c>
      <c r="T669" s="49"/>
      <c r="U669" s="49">
        <v>0</v>
      </c>
      <c r="V669" s="49"/>
      <c r="W669" s="49">
        <v>49940</v>
      </c>
      <c r="X669" s="49"/>
      <c r="Y669" s="49">
        <v>0</v>
      </c>
      <c r="Z669" s="49"/>
      <c r="AA669" s="49">
        <v>0</v>
      </c>
      <c r="AB669" s="49"/>
      <c r="AC669" s="49">
        <v>0</v>
      </c>
      <c r="AD669" s="49"/>
      <c r="AE669" s="49">
        <v>6901.7</v>
      </c>
      <c r="AF669" s="49"/>
      <c r="AG669" s="49">
        <v>0</v>
      </c>
      <c r="AH669" s="49"/>
      <c r="AI669" s="49">
        <f t="shared" si="30"/>
        <v>1237727.4399999997</v>
      </c>
      <c r="AK669" s="6" t="str">
        <f>'Gen Rev'!A669</f>
        <v>Woodsfield</v>
      </c>
      <c r="AL669" s="6" t="str">
        <f t="shared" si="28"/>
        <v>Woodsfield</v>
      </c>
      <c r="AM669" s="6" t="b">
        <f t="shared" si="29"/>
        <v>1</v>
      </c>
    </row>
    <row r="670" spans="1:39" x14ac:dyDescent="0.2">
      <c r="A670" s="6" t="s">
        <v>272</v>
      </c>
      <c r="C670" s="6" t="s">
        <v>269</v>
      </c>
      <c r="E670" s="49">
        <v>5163.88</v>
      </c>
      <c r="F670" s="49"/>
      <c r="G670" s="49">
        <v>39324.69</v>
      </c>
      <c r="H670" s="49"/>
      <c r="I670" s="49">
        <v>52793.68</v>
      </c>
      <c r="J670" s="49"/>
      <c r="K670" s="49">
        <v>0</v>
      </c>
      <c r="L670" s="49"/>
      <c r="M670" s="49">
        <v>50</v>
      </c>
      <c r="N670" s="49"/>
      <c r="O670" s="49">
        <v>105</v>
      </c>
      <c r="P670" s="49"/>
      <c r="Q670" s="49">
        <v>0</v>
      </c>
      <c r="R670" s="49"/>
      <c r="S670" s="49">
        <v>542.13</v>
      </c>
      <c r="T670" s="49"/>
      <c r="U670" s="49">
        <v>0</v>
      </c>
      <c r="V670" s="49"/>
      <c r="W670" s="49">
        <v>0</v>
      </c>
      <c r="X670" s="49"/>
      <c r="Y670" s="49">
        <v>0</v>
      </c>
      <c r="Z670" s="49"/>
      <c r="AA670" s="49">
        <v>0</v>
      </c>
      <c r="AB670" s="49"/>
      <c r="AC670" s="49">
        <v>0</v>
      </c>
      <c r="AD670" s="49"/>
      <c r="AE670" s="49">
        <v>0</v>
      </c>
      <c r="AF670" s="49"/>
      <c r="AG670" s="49">
        <v>0</v>
      </c>
      <c r="AH670" s="49"/>
      <c r="AI670" s="49">
        <f t="shared" si="30"/>
        <v>97979.38</v>
      </c>
      <c r="AK670" s="6" t="str">
        <f>'Gen Rev'!A670</f>
        <v>Woodstock</v>
      </c>
      <c r="AL670" s="6" t="str">
        <f t="shared" si="28"/>
        <v>Woodstock</v>
      </c>
      <c r="AM670" s="6" t="b">
        <f t="shared" si="29"/>
        <v>1</v>
      </c>
    </row>
    <row r="671" spans="1:39" x14ac:dyDescent="0.2">
      <c r="A671" s="8" t="s">
        <v>489</v>
      </c>
      <c r="B671" s="8"/>
      <c r="C671" s="8" t="s">
        <v>487</v>
      </c>
      <c r="D671" s="8"/>
      <c r="E671" s="49">
        <v>329104</v>
      </c>
      <c r="F671" s="49"/>
      <c r="G671" s="49">
        <v>0</v>
      </c>
      <c r="H671" s="49"/>
      <c r="I671" s="49">
        <v>279612</v>
      </c>
      <c r="J671" s="49"/>
      <c r="K671" s="49">
        <v>0</v>
      </c>
      <c r="L671" s="49"/>
      <c r="M671" s="49">
        <v>36631</v>
      </c>
      <c r="N671" s="49"/>
      <c r="O671" s="49">
        <v>102019</v>
      </c>
      <c r="P671" s="49"/>
      <c r="Q671" s="49">
        <v>4474</v>
      </c>
      <c r="R671" s="49"/>
      <c r="S671" s="49">
        <v>32799</v>
      </c>
      <c r="T671" s="49"/>
      <c r="U671" s="49">
        <v>0</v>
      </c>
      <c r="V671" s="49"/>
      <c r="W671" s="49">
        <v>0</v>
      </c>
      <c r="X671" s="49"/>
      <c r="Y671" s="49">
        <v>0</v>
      </c>
      <c r="Z671" s="49"/>
      <c r="AA671" s="49">
        <v>15000</v>
      </c>
      <c r="AB671" s="49"/>
      <c r="AC671" s="49">
        <v>0</v>
      </c>
      <c r="AD671" s="49"/>
      <c r="AE671" s="49">
        <v>0</v>
      </c>
      <c r="AF671" s="49"/>
      <c r="AG671" s="49">
        <v>0</v>
      </c>
      <c r="AH671" s="49"/>
      <c r="AI671" s="49">
        <f t="shared" si="30"/>
        <v>799639</v>
      </c>
      <c r="AK671" s="6" t="str">
        <f>'Gen Rev'!A671</f>
        <v>Woodville</v>
      </c>
      <c r="AL671" s="6" t="str">
        <f t="shared" si="28"/>
        <v>Woodville</v>
      </c>
      <c r="AM671" s="6" t="b">
        <f t="shared" si="29"/>
        <v>1</v>
      </c>
    </row>
    <row r="672" spans="1:39" x14ac:dyDescent="0.2">
      <c r="A672" s="6" t="s">
        <v>224</v>
      </c>
      <c r="C672" s="6" t="s">
        <v>532</v>
      </c>
      <c r="E672" s="49">
        <v>12845.41</v>
      </c>
      <c r="F672" s="49"/>
      <c r="G672" s="49">
        <v>0</v>
      </c>
      <c r="H672" s="49"/>
      <c r="I672" s="49">
        <v>136551.56</v>
      </c>
      <c r="J672" s="49"/>
      <c r="K672" s="49">
        <v>6214.2</v>
      </c>
      <c r="L672" s="49"/>
      <c r="M672" s="49">
        <v>49123.94</v>
      </c>
      <c r="N672" s="49"/>
      <c r="O672" s="49">
        <v>0</v>
      </c>
      <c r="P672" s="49"/>
      <c r="Q672" s="49">
        <v>18.22</v>
      </c>
      <c r="R672" s="49"/>
      <c r="S672" s="49">
        <v>27603.75</v>
      </c>
      <c r="T672" s="49"/>
      <c r="U672" s="49">
        <v>0</v>
      </c>
      <c r="V672" s="49"/>
      <c r="W672" s="49">
        <v>0</v>
      </c>
      <c r="X672" s="49"/>
      <c r="Y672" s="49">
        <v>0</v>
      </c>
      <c r="Z672" s="49"/>
      <c r="AA672" s="49">
        <v>0</v>
      </c>
      <c r="AB672" s="49"/>
      <c r="AC672" s="49">
        <v>0</v>
      </c>
      <c r="AD672" s="49"/>
      <c r="AE672" s="49">
        <v>0</v>
      </c>
      <c r="AF672" s="49"/>
      <c r="AG672" s="49">
        <v>0</v>
      </c>
      <c r="AH672" s="49"/>
      <c r="AI672" s="49">
        <f t="shared" si="30"/>
        <v>232357.08000000002</v>
      </c>
      <c r="AK672" s="6" t="str">
        <f>'Gen Rev'!A672</f>
        <v>Wren</v>
      </c>
      <c r="AL672" s="6" t="str">
        <f t="shared" si="28"/>
        <v>Wren</v>
      </c>
      <c r="AM672" s="6" t="b">
        <f t="shared" si="29"/>
        <v>1</v>
      </c>
    </row>
    <row r="673" spans="1:39" x14ac:dyDescent="0.2">
      <c r="A673" s="6" t="s">
        <v>216</v>
      </c>
      <c r="C673" s="6" t="s">
        <v>518</v>
      </c>
      <c r="E673" s="49">
        <v>25954.720000000001</v>
      </c>
      <c r="F673" s="49"/>
      <c r="G673" s="49">
        <v>0</v>
      </c>
      <c r="H673" s="49"/>
      <c r="I673" s="49">
        <v>8818.61</v>
      </c>
      <c r="J673" s="49"/>
      <c r="K673" s="49">
        <v>0</v>
      </c>
      <c r="L673" s="49"/>
      <c r="M673" s="49">
        <v>0</v>
      </c>
      <c r="N673" s="49"/>
      <c r="O673" s="49">
        <v>1526.24</v>
      </c>
      <c r="P673" s="49"/>
      <c r="Q673" s="49">
        <v>14.19</v>
      </c>
      <c r="R673" s="49"/>
      <c r="S673" s="49">
        <v>0</v>
      </c>
      <c r="T673" s="49"/>
      <c r="U673" s="49">
        <v>0</v>
      </c>
      <c r="V673" s="49"/>
      <c r="W673" s="49">
        <v>0</v>
      </c>
      <c r="X673" s="49"/>
      <c r="Y673" s="49">
        <v>0</v>
      </c>
      <c r="Z673" s="49"/>
      <c r="AA673" s="49">
        <v>0</v>
      </c>
      <c r="AB673" s="49"/>
      <c r="AC673" s="49">
        <v>0</v>
      </c>
      <c r="AD673" s="49"/>
      <c r="AE673" s="49">
        <v>0</v>
      </c>
      <c r="AF673" s="49"/>
      <c r="AG673" s="49">
        <v>0</v>
      </c>
      <c r="AH673" s="49"/>
      <c r="AI673" s="49">
        <f t="shared" si="30"/>
        <v>36313.760000000002</v>
      </c>
      <c r="AK673" s="6" t="str">
        <f>'Gen Rev'!A673</f>
        <v>Yankee Lake</v>
      </c>
      <c r="AL673" s="6" t="str">
        <f t="shared" si="28"/>
        <v>Yankee Lake</v>
      </c>
      <c r="AM673" s="6" t="b">
        <f t="shared" si="29"/>
        <v>1</v>
      </c>
    </row>
    <row r="674" spans="1:39" x14ac:dyDescent="0.2">
      <c r="A674" s="6" t="s">
        <v>348</v>
      </c>
      <c r="C674" s="6" t="s">
        <v>345</v>
      </c>
      <c r="E674" s="49">
        <v>1033369</v>
      </c>
      <c r="F674" s="49"/>
      <c r="G674" s="49">
        <v>1363034</v>
      </c>
      <c r="H674" s="49"/>
      <c r="I674" s="49">
        <v>909065</v>
      </c>
      <c r="J674" s="49"/>
      <c r="K674" s="49">
        <v>0</v>
      </c>
      <c r="L674" s="49"/>
      <c r="M674" s="49">
        <v>56628</v>
      </c>
      <c r="N674" s="49"/>
      <c r="O674" s="49">
        <v>46910</v>
      </c>
      <c r="P674" s="49"/>
      <c r="Q674" s="49">
        <v>1468</v>
      </c>
      <c r="R674" s="49"/>
      <c r="S674" s="49">
        <v>226757</v>
      </c>
      <c r="T674" s="49"/>
      <c r="U674" s="49">
        <v>0</v>
      </c>
      <c r="V674" s="49"/>
      <c r="W674" s="49">
        <v>0</v>
      </c>
      <c r="X674" s="49"/>
      <c r="Y674" s="49">
        <v>0</v>
      </c>
      <c r="Z674" s="49"/>
      <c r="AA674" s="49">
        <v>1420930</v>
      </c>
      <c r="AB674" s="49"/>
      <c r="AC674" s="49">
        <v>0</v>
      </c>
      <c r="AD674" s="49"/>
      <c r="AE674" s="49">
        <v>0</v>
      </c>
      <c r="AF674" s="49"/>
      <c r="AG674" s="49">
        <v>0</v>
      </c>
      <c r="AH674" s="49"/>
      <c r="AI674" s="49">
        <f t="shared" si="30"/>
        <v>5058161</v>
      </c>
      <c r="AK674" s="6" t="str">
        <f>'Gen Rev'!A674</f>
        <v>Yellow Springs</v>
      </c>
      <c r="AL674" s="6" t="str">
        <f t="shared" si="28"/>
        <v>Yellow Springs</v>
      </c>
      <c r="AM674" s="6" t="b">
        <f t="shared" si="29"/>
        <v>1</v>
      </c>
    </row>
    <row r="675" spans="1:39" x14ac:dyDescent="0.2">
      <c r="A675" s="6" t="s">
        <v>317</v>
      </c>
      <c r="C675" s="6" t="s">
        <v>306</v>
      </c>
      <c r="E675" s="49">
        <v>1503</v>
      </c>
      <c r="F675" s="49"/>
      <c r="G675" s="49">
        <v>0</v>
      </c>
      <c r="H675" s="49"/>
      <c r="I675" s="49">
        <v>18701</v>
      </c>
      <c r="J675" s="49"/>
      <c r="K675" s="49">
        <v>3179</v>
      </c>
      <c r="L675" s="49"/>
      <c r="M675" s="49">
        <v>0</v>
      </c>
      <c r="N675" s="49"/>
      <c r="O675" s="49">
        <v>90847</v>
      </c>
      <c r="P675" s="49"/>
      <c r="Q675" s="49">
        <v>168</v>
      </c>
      <c r="R675" s="49"/>
      <c r="S675" s="49">
        <v>1463</v>
      </c>
      <c r="T675" s="49"/>
      <c r="U675" s="49">
        <v>0</v>
      </c>
      <c r="V675" s="49"/>
      <c r="W675" s="49">
        <v>0</v>
      </c>
      <c r="X675" s="49"/>
      <c r="Y675" s="49">
        <v>0</v>
      </c>
      <c r="Z675" s="49"/>
      <c r="AA675" s="49">
        <v>0</v>
      </c>
      <c r="AB675" s="49"/>
      <c r="AC675" s="49">
        <v>0</v>
      </c>
      <c r="AD675" s="49"/>
      <c r="AE675" s="49">
        <v>25339</v>
      </c>
      <c r="AF675" s="49"/>
      <c r="AG675" s="49">
        <v>0</v>
      </c>
      <c r="AH675" s="49"/>
      <c r="AI675" s="49">
        <f t="shared" si="30"/>
        <v>141200</v>
      </c>
      <c r="AK675" s="6" t="str">
        <f>'Gen Rev'!A675</f>
        <v>Yorkshire</v>
      </c>
      <c r="AL675" s="6" t="str">
        <f t="shared" ref="AL675:AL682" si="31">A675</f>
        <v>Yorkshire</v>
      </c>
      <c r="AM675" s="6" t="b">
        <f t="shared" ref="AM675:AM682" si="32">AK675=AL675</f>
        <v>1</v>
      </c>
    </row>
    <row r="676" spans="1:39" x14ac:dyDescent="0.2"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</row>
    <row r="677" spans="1:39" ht="12.75" x14ac:dyDescent="0.2"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88" t="s">
        <v>733</v>
      </c>
    </row>
    <row r="678" spans="1:39" x14ac:dyDescent="0.2"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</row>
    <row r="679" spans="1:39" x14ac:dyDescent="0.2">
      <c r="A679" s="6" t="s">
        <v>394</v>
      </c>
      <c r="C679" s="6" t="s">
        <v>390</v>
      </c>
      <c r="E679" s="52">
        <f>218200+94348</f>
        <v>312548</v>
      </c>
      <c r="F679" s="52"/>
      <c r="G679" s="52">
        <v>0</v>
      </c>
      <c r="H679" s="52"/>
      <c r="I679" s="52">
        <v>2479</v>
      </c>
      <c r="J679" s="52"/>
      <c r="K679" s="52">
        <v>0</v>
      </c>
      <c r="L679" s="52"/>
      <c r="M679" s="52">
        <f>18452+13742</f>
        <v>32194</v>
      </c>
      <c r="N679" s="52"/>
      <c r="O679" s="52">
        <v>9011</v>
      </c>
      <c r="P679" s="52"/>
      <c r="Q679" s="52">
        <f>72934+1245</f>
        <v>74179</v>
      </c>
      <c r="R679" s="52"/>
      <c r="S679" s="52">
        <f>8962+6138</f>
        <v>15100</v>
      </c>
      <c r="T679" s="52"/>
      <c r="U679" s="52">
        <v>0</v>
      </c>
      <c r="V679" s="52"/>
      <c r="W679" s="52">
        <v>0</v>
      </c>
      <c r="X679" s="52"/>
      <c r="Y679" s="52">
        <v>0</v>
      </c>
      <c r="Z679" s="52"/>
      <c r="AA679" s="52">
        <v>0</v>
      </c>
      <c r="AB679" s="52"/>
      <c r="AC679" s="52">
        <v>0</v>
      </c>
      <c r="AD679" s="52"/>
      <c r="AE679" s="52">
        <v>0</v>
      </c>
      <c r="AF679" s="52"/>
      <c r="AG679" s="52">
        <v>0</v>
      </c>
      <c r="AH679" s="49"/>
      <c r="AI679" s="52">
        <f t="shared" si="30"/>
        <v>445511</v>
      </c>
      <c r="AK679" s="6" t="str">
        <f>'Gen Rev'!A679</f>
        <v>Yorkville</v>
      </c>
      <c r="AL679" s="6" t="str">
        <f t="shared" si="31"/>
        <v>Yorkville</v>
      </c>
      <c r="AM679" s="6" t="b">
        <f t="shared" si="32"/>
        <v>1</v>
      </c>
    </row>
    <row r="680" spans="1:39" x14ac:dyDescent="0.2">
      <c r="A680" s="6" t="s">
        <v>538</v>
      </c>
      <c r="C680" s="6" t="s">
        <v>77</v>
      </c>
      <c r="E680" s="49">
        <v>27315</v>
      </c>
      <c r="F680" s="49"/>
      <c r="G680" s="49">
        <v>0</v>
      </c>
      <c r="H680" s="49"/>
      <c r="I680" s="49">
        <v>40938</v>
      </c>
      <c r="J680" s="49"/>
      <c r="K680" s="49">
        <v>0</v>
      </c>
      <c r="L680" s="49"/>
      <c r="M680" s="49">
        <v>7400</v>
      </c>
      <c r="N680" s="49"/>
      <c r="O680" s="49">
        <v>0</v>
      </c>
      <c r="P680" s="49"/>
      <c r="Q680" s="49">
        <v>207</v>
      </c>
      <c r="R680" s="49"/>
      <c r="S680" s="49">
        <v>7052</v>
      </c>
      <c r="T680" s="49"/>
      <c r="U680" s="49">
        <v>0</v>
      </c>
      <c r="V680" s="49"/>
      <c r="W680" s="49">
        <v>0</v>
      </c>
      <c r="X680" s="49"/>
      <c r="Y680" s="49">
        <v>0</v>
      </c>
      <c r="Z680" s="49"/>
      <c r="AA680" s="49">
        <v>0</v>
      </c>
      <c r="AB680" s="49"/>
      <c r="AC680" s="49">
        <v>0</v>
      </c>
      <c r="AD680" s="49"/>
      <c r="AE680" s="49">
        <v>0</v>
      </c>
      <c r="AF680" s="49"/>
      <c r="AG680" s="49">
        <v>0</v>
      </c>
      <c r="AH680" s="49"/>
      <c r="AI680" s="49">
        <f t="shared" ref="AI680:AI682" si="33">SUM(E680:AG680)</f>
        <v>82912</v>
      </c>
      <c r="AK680" s="6" t="str">
        <f>'Gen Rev'!A680</f>
        <v>Zaleski</v>
      </c>
      <c r="AL680" s="6" t="str">
        <f t="shared" si="31"/>
        <v>Zaleski</v>
      </c>
      <c r="AM680" s="6" t="b">
        <f t="shared" si="32"/>
        <v>1</v>
      </c>
    </row>
    <row r="681" spans="1:39" x14ac:dyDescent="0.2">
      <c r="A681" s="6" t="s">
        <v>417</v>
      </c>
      <c r="C681" s="6" t="s">
        <v>414</v>
      </c>
      <c r="E681" s="49">
        <v>7508</v>
      </c>
      <c r="F681" s="49"/>
      <c r="G681" s="49">
        <v>0</v>
      </c>
      <c r="H681" s="49"/>
      <c r="I681" s="49">
        <v>16975</v>
      </c>
      <c r="J681" s="49"/>
      <c r="K681" s="49">
        <v>0</v>
      </c>
      <c r="L681" s="49"/>
      <c r="M681" s="49">
        <v>0</v>
      </c>
      <c r="N681" s="49"/>
      <c r="O681" s="49">
        <v>3241</v>
      </c>
      <c r="P681" s="49"/>
      <c r="Q681" s="49">
        <v>34</v>
      </c>
      <c r="R681" s="49"/>
      <c r="S681" s="49">
        <v>0</v>
      </c>
      <c r="T681" s="49"/>
      <c r="U681" s="49">
        <v>0</v>
      </c>
      <c r="V681" s="49"/>
      <c r="W681" s="49">
        <v>0</v>
      </c>
      <c r="X681" s="49"/>
      <c r="Y681" s="49">
        <v>0</v>
      </c>
      <c r="Z681" s="49"/>
      <c r="AA681" s="49">
        <v>0</v>
      </c>
      <c r="AB681" s="49"/>
      <c r="AC681" s="49">
        <v>0</v>
      </c>
      <c r="AD681" s="49"/>
      <c r="AE681" s="49">
        <v>0</v>
      </c>
      <c r="AF681" s="49"/>
      <c r="AG681" s="49">
        <v>0</v>
      </c>
      <c r="AH681" s="49"/>
      <c r="AI681" s="49">
        <f t="shared" si="33"/>
        <v>27758</v>
      </c>
      <c r="AK681" s="6" t="str">
        <f>'Gen Rev'!A681</f>
        <v>Zanesfield</v>
      </c>
      <c r="AL681" s="6" t="str">
        <f t="shared" si="31"/>
        <v>Zanesfield</v>
      </c>
      <c r="AM681" s="6" t="b">
        <f t="shared" si="32"/>
        <v>1</v>
      </c>
    </row>
    <row r="682" spans="1:39" x14ac:dyDescent="0.2">
      <c r="A682" s="6" t="s">
        <v>220</v>
      </c>
      <c r="C682" s="6" t="s">
        <v>521</v>
      </c>
      <c r="E682" s="49">
        <v>43580.7</v>
      </c>
      <c r="F682" s="49"/>
      <c r="G682" s="49">
        <v>0</v>
      </c>
      <c r="H682" s="49"/>
      <c r="I682" s="49">
        <v>291740.94</v>
      </c>
      <c r="J682" s="49"/>
      <c r="K682" s="49">
        <v>0</v>
      </c>
      <c r="L682" s="49"/>
      <c r="M682" s="49">
        <v>603.85</v>
      </c>
      <c r="N682" s="49"/>
      <c r="O682" s="49">
        <v>2040.31</v>
      </c>
      <c r="P682" s="49"/>
      <c r="Q682" s="49">
        <v>21.17</v>
      </c>
      <c r="R682" s="49"/>
      <c r="S682" s="49">
        <v>860.95</v>
      </c>
      <c r="T682" s="49"/>
      <c r="U682" s="49">
        <v>0</v>
      </c>
      <c r="V682" s="49"/>
      <c r="W682" s="49">
        <v>0</v>
      </c>
      <c r="X682" s="49"/>
      <c r="Y682" s="49">
        <v>0</v>
      </c>
      <c r="Z682" s="49"/>
      <c r="AA682" s="49">
        <v>0</v>
      </c>
      <c r="AB682" s="49"/>
      <c r="AC682" s="49">
        <v>35084.559999999998</v>
      </c>
      <c r="AD682" s="49"/>
      <c r="AE682" s="49">
        <v>0</v>
      </c>
      <c r="AF682" s="49"/>
      <c r="AG682" s="49">
        <v>0</v>
      </c>
      <c r="AH682" s="49"/>
      <c r="AI682" s="49">
        <f t="shared" si="33"/>
        <v>373932.48</v>
      </c>
      <c r="AK682" s="6" t="str">
        <f>'Gen Rev'!A682</f>
        <v>Zoar</v>
      </c>
      <c r="AL682" s="6" t="str">
        <f t="shared" si="31"/>
        <v>Zoar</v>
      </c>
      <c r="AM682" s="6" t="b">
        <f t="shared" si="32"/>
        <v>1</v>
      </c>
    </row>
  </sheetData>
  <sortState ref="A9:AI682">
    <sortCondition ref="A9:A682"/>
    <sortCondition ref="C9:C682"/>
  </sortState>
  <phoneticPr fontId="1" type="noConversion"/>
  <printOptions horizontalCentered="1"/>
  <pageMargins left="0.5" right="0.5" top="0.5" bottom="0.5" header="0" footer="0.3"/>
  <pageSetup scale="81" firstPageNumber="52" fitToWidth="2" fitToHeight="14" pageOrder="overThenDown" orientation="portrait" useFirstPageNumber="1" horizontalDpi="300" verticalDpi="300" r:id="rId1"/>
  <headerFooter scaleWithDoc="0" alignWithMargins="0">
    <oddFooter>&amp;C&amp;P</oddFooter>
  </headerFooter>
  <colBreaks count="1" manualBreakCount="1">
    <brk id="18" max="6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2"/>
  <sheetViews>
    <sheetView view="pageBreakPreview" zoomScaleNormal="100" zoomScaleSheetLayoutView="100" workbookViewId="0">
      <pane xSplit="4" ySplit="7" topLeftCell="E661" activePane="bottomRight" state="frozen"/>
      <selection pane="topRight" activeCell="E1" sqref="E1"/>
      <selection pane="bottomLeft" activeCell="A8" sqref="A8"/>
      <selection pane="bottomRight" activeCell="C683" sqref="C683"/>
    </sheetView>
  </sheetViews>
  <sheetFormatPr defaultColWidth="9.33203125" defaultRowHeight="12" x14ac:dyDescent="0.2"/>
  <cols>
    <col min="1" max="1" width="20.83203125" style="6" customWidth="1"/>
    <col min="2" max="2" width="1.83203125" style="6" customWidth="1"/>
    <col min="3" max="3" width="14.33203125" style="6" customWidth="1"/>
    <col min="4" max="4" width="1.83203125" style="6" customWidth="1"/>
    <col min="5" max="5" width="12.6640625" style="8" customWidth="1"/>
    <col min="6" max="6" width="1.83203125" style="8" customWidth="1"/>
    <col min="7" max="7" width="12.6640625" style="8" customWidth="1"/>
    <col min="8" max="8" width="1.83203125" style="8" customWidth="1"/>
    <col min="9" max="9" width="11.83203125" style="8" customWidth="1"/>
    <col min="10" max="10" width="1.83203125" style="8" customWidth="1"/>
    <col min="11" max="11" width="13.1640625" style="8" customWidth="1"/>
    <col min="12" max="12" width="1.83203125" style="8" customWidth="1"/>
    <col min="13" max="13" width="11.83203125" style="8" customWidth="1"/>
    <col min="14" max="14" width="1.83203125" style="8" customWidth="1"/>
    <col min="15" max="15" width="13.5" style="8" customWidth="1"/>
    <col min="16" max="16" width="1.83203125" style="8" customWidth="1"/>
    <col min="17" max="17" width="16" style="8" customWidth="1"/>
    <col min="18" max="18" width="1.83203125" style="8" customWidth="1"/>
    <col min="19" max="19" width="12.1640625" style="8" customWidth="1"/>
    <col min="20" max="20" width="1.83203125" style="8" customWidth="1"/>
    <col min="21" max="21" width="11.83203125" style="8" customWidth="1"/>
    <col min="22" max="22" width="1.83203125" style="8" customWidth="1"/>
    <col min="23" max="23" width="13" style="8" customWidth="1"/>
    <col min="24" max="24" width="1.83203125" style="8" customWidth="1"/>
    <col min="25" max="25" width="14.1640625" style="8" customWidth="1"/>
    <col min="26" max="26" width="1.83203125" style="8" customWidth="1"/>
    <col min="27" max="27" width="14.33203125" style="8" customWidth="1"/>
    <col min="28" max="28" width="1.83203125" style="8" customWidth="1"/>
    <col min="29" max="29" width="12.5" style="8" customWidth="1"/>
    <col min="30" max="30" width="1.83203125" style="8" customWidth="1"/>
    <col min="31" max="31" width="14.5" style="6" customWidth="1"/>
    <col min="32" max="32" width="1.83203125" style="6" customWidth="1"/>
    <col min="33" max="33" width="14" style="60" bestFit="1" customWidth="1"/>
    <col min="34" max="34" width="1.83203125" style="60" customWidth="1"/>
    <col min="35" max="35" width="12.83203125" style="60" bestFit="1" customWidth="1"/>
    <col min="36" max="36" width="1.83203125" style="60" customWidth="1"/>
    <col min="37" max="37" width="12.83203125" style="60" bestFit="1" customWidth="1"/>
    <col min="38" max="38" width="13.5" style="6" bestFit="1" customWidth="1"/>
    <col min="39" max="39" width="15.83203125" style="6" customWidth="1"/>
    <col min="40" max="16384" width="9.33203125" style="6"/>
  </cols>
  <sheetData>
    <row r="1" spans="1:41" ht="12.6" customHeight="1" x14ac:dyDescent="0.2">
      <c r="A1" s="6" t="s">
        <v>572</v>
      </c>
      <c r="AG1" s="60" t="s">
        <v>756</v>
      </c>
    </row>
    <row r="2" spans="1:41" ht="12.6" customHeight="1" x14ac:dyDescent="0.2">
      <c r="A2" s="6" t="s">
        <v>741</v>
      </c>
      <c r="AG2" s="60" t="s">
        <v>757</v>
      </c>
    </row>
    <row r="3" spans="1:41" ht="12.6" customHeight="1" x14ac:dyDescent="0.2">
      <c r="A3" s="6" t="s">
        <v>844</v>
      </c>
      <c r="AG3" s="60" t="s">
        <v>758</v>
      </c>
    </row>
    <row r="4" spans="1:41" ht="12.6" customHeight="1" x14ac:dyDescent="0.2">
      <c r="A4" s="6" t="s">
        <v>733</v>
      </c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41" s="29" customFormat="1" ht="12.6" customHeight="1" x14ac:dyDescent="0.2">
      <c r="A5" s="25"/>
      <c r="B5" s="25"/>
      <c r="C5" s="25"/>
      <c r="D5" s="25"/>
      <c r="E5" s="30" t="s">
        <v>595</v>
      </c>
      <c r="F5" s="3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0" t="s">
        <v>611</v>
      </c>
      <c r="X5" s="30"/>
      <c r="Y5" s="27"/>
      <c r="Z5" s="27"/>
      <c r="AA5" s="27"/>
      <c r="AB5" s="27"/>
      <c r="AC5" s="26" t="s">
        <v>592</v>
      </c>
      <c r="AD5" s="26"/>
      <c r="AG5" s="61" t="s">
        <v>749</v>
      </c>
      <c r="AH5" s="61"/>
      <c r="AI5" s="61" t="s">
        <v>751</v>
      </c>
      <c r="AJ5" s="61"/>
      <c r="AK5" s="61" t="s">
        <v>754</v>
      </c>
      <c r="AL5" s="28"/>
    </row>
    <row r="6" spans="1:41" s="29" customFormat="1" ht="12.6" customHeight="1" x14ac:dyDescent="0.2">
      <c r="A6" s="25"/>
      <c r="B6" s="25"/>
      <c r="C6" s="25"/>
      <c r="D6" s="25"/>
      <c r="E6" s="30" t="s">
        <v>596</v>
      </c>
      <c r="F6" s="30"/>
      <c r="G6" s="30" t="s">
        <v>598</v>
      </c>
      <c r="H6" s="30"/>
      <c r="I6" s="30" t="s">
        <v>600</v>
      </c>
      <c r="J6" s="30"/>
      <c r="K6" s="30" t="s">
        <v>602</v>
      </c>
      <c r="L6" s="30"/>
      <c r="M6" s="30" t="s">
        <v>604</v>
      </c>
      <c r="N6" s="30"/>
      <c r="O6" s="27"/>
      <c r="P6" s="27"/>
      <c r="Q6" s="30" t="s">
        <v>605</v>
      </c>
      <c r="R6" s="30"/>
      <c r="S6" s="30" t="s">
        <v>607</v>
      </c>
      <c r="T6" s="30"/>
      <c r="U6" s="30" t="s">
        <v>609</v>
      </c>
      <c r="V6" s="30"/>
      <c r="W6" s="30" t="s">
        <v>612</v>
      </c>
      <c r="X6" s="30"/>
      <c r="Y6" s="38"/>
      <c r="Z6" s="38"/>
      <c r="AA6" s="27"/>
      <c r="AB6" s="27"/>
      <c r="AC6" s="26" t="s">
        <v>593</v>
      </c>
      <c r="AD6" s="26"/>
      <c r="AG6" s="61" t="s">
        <v>707</v>
      </c>
      <c r="AH6" s="61"/>
      <c r="AI6" s="61" t="s">
        <v>752</v>
      </c>
      <c r="AJ6" s="61"/>
      <c r="AK6" s="61" t="s">
        <v>755</v>
      </c>
      <c r="AL6" s="28"/>
    </row>
    <row r="7" spans="1:41" s="32" customFormat="1" ht="12.6" customHeight="1" x14ac:dyDescent="0.2">
      <c r="A7" s="31" t="s">
        <v>674</v>
      </c>
      <c r="C7" s="31" t="s">
        <v>675</v>
      </c>
      <c r="E7" s="37" t="s">
        <v>597</v>
      </c>
      <c r="F7" s="38"/>
      <c r="G7" s="37" t="s">
        <v>599</v>
      </c>
      <c r="H7" s="38"/>
      <c r="I7" s="37" t="s">
        <v>601</v>
      </c>
      <c r="J7" s="38"/>
      <c r="K7" s="37" t="s">
        <v>603</v>
      </c>
      <c r="L7" s="38"/>
      <c r="M7" s="37" t="s">
        <v>583</v>
      </c>
      <c r="N7" s="38"/>
      <c r="O7" s="44" t="s">
        <v>569</v>
      </c>
      <c r="P7" s="45"/>
      <c r="Q7" s="37" t="s">
        <v>606</v>
      </c>
      <c r="R7" s="38"/>
      <c r="S7" s="37" t="s">
        <v>608</v>
      </c>
      <c r="T7" s="38"/>
      <c r="U7" s="37" t="s">
        <v>610</v>
      </c>
      <c r="V7" s="38"/>
      <c r="W7" s="37" t="s">
        <v>613</v>
      </c>
      <c r="X7" s="38"/>
      <c r="Y7" s="37" t="s">
        <v>571</v>
      </c>
      <c r="Z7" s="38"/>
      <c r="AA7" s="37" t="s">
        <v>614</v>
      </c>
      <c r="AB7" s="38"/>
      <c r="AC7" s="10" t="s">
        <v>615</v>
      </c>
      <c r="AD7" s="22"/>
      <c r="AE7" s="31" t="s">
        <v>698</v>
      </c>
      <c r="AG7" s="62"/>
      <c r="AH7" s="63"/>
      <c r="AI7" s="62" t="s">
        <v>753</v>
      </c>
      <c r="AJ7" s="63"/>
      <c r="AK7" s="62" t="s">
        <v>748</v>
      </c>
      <c r="AL7" s="31" t="s">
        <v>747</v>
      </c>
    </row>
    <row r="8" spans="1:41" s="32" customFormat="1" ht="12" customHeight="1" x14ac:dyDescent="0.2">
      <c r="E8" s="38"/>
      <c r="F8" s="38"/>
      <c r="G8" s="38"/>
      <c r="H8" s="38"/>
      <c r="I8" s="38"/>
      <c r="J8" s="38"/>
      <c r="K8" s="38"/>
      <c r="L8" s="38"/>
      <c r="M8" s="38"/>
      <c r="N8" s="38"/>
      <c r="O8" s="45"/>
      <c r="P8" s="45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22"/>
      <c r="AD8" s="22"/>
      <c r="AE8" s="65"/>
      <c r="AG8" s="63"/>
      <c r="AH8" s="63"/>
      <c r="AI8" s="63"/>
      <c r="AJ8" s="63"/>
      <c r="AK8" s="63"/>
      <c r="AL8" s="18"/>
      <c r="AM8" s="6"/>
      <c r="AN8" s="6"/>
      <c r="AO8" s="6"/>
    </row>
    <row r="9" spans="1:41" ht="12" customHeight="1" x14ac:dyDescent="0.2">
      <c r="A9" s="6" t="s">
        <v>264</v>
      </c>
      <c r="C9" s="6" t="s">
        <v>265</v>
      </c>
      <c r="E9" s="54">
        <v>251235.08</v>
      </c>
      <c r="G9" s="18">
        <v>0</v>
      </c>
      <c r="H9" s="18"/>
      <c r="I9" s="18">
        <v>4723.4399999999996</v>
      </c>
      <c r="J9" s="18"/>
      <c r="K9" s="18">
        <v>0</v>
      </c>
      <c r="L9" s="18"/>
      <c r="M9" s="18">
        <v>133845.6</v>
      </c>
      <c r="N9" s="18"/>
      <c r="O9" s="18">
        <v>65888.490000000005</v>
      </c>
      <c r="P9" s="18"/>
      <c r="Q9" s="18">
        <v>93642.97</v>
      </c>
      <c r="R9" s="18"/>
      <c r="S9" s="18">
        <v>95.18</v>
      </c>
      <c r="T9" s="18"/>
      <c r="U9" s="18">
        <v>30000</v>
      </c>
      <c r="V9" s="18"/>
      <c r="W9" s="18">
        <v>187245</v>
      </c>
      <c r="X9" s="18"/>
      <c r="Y9" s="18">
        <v>0</v>
      </c>
      <c r="Z9" s="18"/>
      <c r="AA9" s="18">
        <v>0</v>
      </c>
      <c r="AB9" s="18"/>
      <c r="AC9" s="18">
        <v>0</v>
      </c>
      <c r="AD9" s="18"/>
      <c r="AE9" s="18">
        <f t="shared" ref="AE9:AE75" si="0">SUM(E9:AC9)</f>
        <v>766675.76</v>
      </c>
      <c r="AF9" s="18"/>
      <c r="AG9" s="64">
        <v>47757.87</v>
      </c>
      <c r="AH9" s="64"/>
      <c r="AI9" s="64">
        <v>2816047.51</v>
      </c>
      <c r="AJ9" s="64"/>
      <c r="AK9" s="64">
        <v>2863805.38</v>
      </c>
      <c r="AL9" s="8">
        <f>+'Gov Rev'!AI9-'Gov Exp'!AE9+'Gov Exp'!AI9-'Gov Exp'!AK9</f>
        <v>0</v>
      </c>
      <c r="AM9" s="6" t="str">
        <f>'Gov Rev'!A9</f>
        <v>Aberdeen</v>
      </c>
      <c r="AN9" s="6" t="str">
        <f t="shared" ref="AN9:AN75" si="1">A9</f>
        <v>Aberdeen</v>
      </c>
      <c r="AO9" s="6" t="b">
        <f t="shared" ref="AO9:AO75" si="2">AM9=AN9</f>
        <v>1</v>
      </c>
    </row>
    <row r="10" spans="1:41" ht="12" customHeight="1" x14ac:dyDescent="0.2">
      <c r="A10" s="6" t="s">
        <v>365</v>
      </c>
      <c r="C10" s="6" t="s">
        <v>366</v>
      </c>
      <c r="E10" s="8">
        <v>760416</v>
      </c>
      <c r="G10" s="8">
        <v>18780</v>
      </c>
      <c r="I10" s="8">
        <v>110898</v>
      </c>
      <c r="K10" s="8">
        <v>10835</v>
      </c>
      <c r="M10" s="8">
        <v>0</v>
      </c>
      <c r="O10" s="8">
        <v>276524</v>
      </c>
      <c r="Q10" s="8">
        <v>205178</v>
      </c>
      <c r="S10" s="8">
        <v>2691179</v>
      </c>
      <c r="U10" s="8">
        <v>3012156</v>
      </c>
      <c r="W10" s="8">
        <v>0</v>
      </c>
      <c r="Y10" s="8">
        <v>0</v>
      </c>
      <c r="AA10" s="8">
        <v>0</v>
      </c>
      <c r="AC10" s="8">
        <v>71293</v>
      </c>
      <c r="AE10" s="8">
        <f t="shared" si="0"/>
        <v>7157259</v>
      </c>
      <c r="AF10" s="8"/>
      <c r="AG10" s="55"/>
      <c r="AH10" s="55"/>
      <c r="AI10" s="55"/>
      <c r="AJ10" s="55"/>
      <c r="AK10" s="55"/>
      <c r="AL10" s="8">
        <f>+'Gov Rev'!AI10-'Gov Exp'!AE10+'Gov Exp'!AI10-'Gov Exp'!AK10</f>
        <v>912264</v>
      </c>
      <c r="AM10" s="6" t="str">
        <f>'Gov Rev'!A10</f>
        <v>Ada</v>
      </c>
      <c r="AN10" s="6" t="str">
        <f t="shared" si="1"/>
        <v>Ada</v>
      </c>
      <c r="AO10" s="6" t="b">
        <f t="shared" si="2"/>
        <v>1</v>
      </c>
    </row>
    <row r="11" spans="1:41" s="12" customFormat="1" ht="12" customHeight="1" x14ac:dyDescent="0.2">
      <c r="A11" s="6" t="s">
        <v>449</v>
      </c>
      <c r="B11" s="6"/>
      <c r="C11" s="6" t="s">
        <v>450</v>
      </c>
      <c r="D11" s="6"/>
      <c r="E11" s="8">
        <v>800</v>
      </c>
      <c r="F11" s="8"/>
      <c r="G11" s="8">
        <v>0</v>
      </c>
      <c r="H11" s="8"/>
      <c r="I11" s="8">
        <v>0</v>
      </c>
      <c r="J11" s="8"/>
      <c r="K11" s="8">
        <v>0</v>
      </c>
      <c r="L11" s="8"/>
      <c r="M11" s="8">
        <v>4023</v>
      </c>
      <c r="N11" s="8"/>
      <c r="O11" s="8">
        <f>2000+1951</f>
        <v>3951</v>
      </c>
      <c r="P11" s="8"/>
      <c r="Q11" s="8">
        <v>9370</v>
      </c>
      <c r="R11" s="8"/>
      <c r="S11" s="8">
        <v>0</v>
      </c>
      <c r="T11" s="8"/>
      <c r="U11" s="8">
        <v>0</v>
      </c>
      <c r="V11" s="8"/>
      <c r="W11" s="8">
        <v>0</v>
      </c>
      <c r="X11" s="8"/>
      <c r="Y11" s="8">
        <v>0</v>
      </c>
      <c r="Z11" s="8"/>
      <c r="AA11" s="8">
        <v>0</v>
      </c>
      <c r="AB11" s="8"/>
      <c r="AC11" s="8">
        <v>0</v>
      </c>
      <c r="AD11" s="8"/>
      <c r="AE11" s="8">
        <f t="shared" si="0"/>
        <v>18144</v>
      </c>
      <c r="AF11" s="8"/>
      <c r="AG11" s="55"/>
      <c r="AH11" s="55"/>
      <c r="AI11" s="55"/>
      <c r="AJ11" s="55"/>
      <c r="AK11" s="55"/>
      <c r="AL11" s="8">
        <f>+'Gov Rev'!AI11-'Gov Exp'!AE11+'Gov Exp'!AI11-'Gov Exp'!AK11</f>
        <v>1359</v>
      </c>
      <c r="AM11" s="6" t="str">
        <f>'Gov Rev'!A11</f>
        <v>Adamsville</v>
      </c>
      <c r="AN11" s="6" t="str">
        <f t="shared" si="1"/>
        <v>Adamsville</v>
      </c>
      <c r="AO11" s="6" t="b">
        <f t="shared" si="2"/>
        <v>1</v>
      </c>
    </row>
    <row r="12" spans="1:41" ht="12" customHeight="1" x14ac:dyDescent="0.2">
      <c r="A12" s="6" t="s">
        <v>86</v>
      </c>
      <c r="C12" s="6" t="s">
        <v>351</v>
      </c>
      <c r="E12" s="8">
        <v>264911.28000000003</v>
      </c>
      <c r="G12" s="8">
        <v>0</v>
      </c>
      <c r="I12" s="8">
        <v>1018.68</v>
      </c>
      <c r="K12" s="8">
        <v>0</v>
      </c>
      <c r="M12" s="8">
        <v>10500</v>
      </c>
      <c r="O12" s="8">
        <v>99315.16</v>
      </c>
      <c r="Q12" s="8">
        <v>274657.03999999998</v>
      </c>
      <c r="S12" s="8">
        <v>47216.13</v>
      </c>
      <c r="U12" s="8">
        <v>1101.18</v>
      </c>
      <c r="W12" s="8">
        <v>0</v>
      </c>
      <c r="Y12" s="8">
        <v>12000</v>
      </c>
      <c r="AA12" s="8">
        <v>0</v>
      </c>
      <c r="AC12" s="8">
        <v>1120.3599999999999</v>
      </c>
      <c r="AE12" s="8">
        <f t="shared" si="0"/>
        <v>711839.83</v>
      </c>
      <c r="AF12" s="8"/>
      <c r="AG12" s="55">
        <v>259566.17</v>
      </c>
      <c r="AH12" s="55"/>
      <c r="AI12" s="55">
        <v>9325.27</v>
      </c>
      <c r="AJ12" s="55"/>
      <c r="AK12" s="55">
        <v>268891.44</v>
      </c>
      <c r="AL12" s="8">
        <f>+'Gov Rev'!AI12-'Gov Exp'!AE12+'Gov Exp'!AI12-'Gov Exp'!AK12</f>
        <v>0</v>
      </c>
      <c r="AM12" s="6" t="str">
        <f>'Gov Rev'!A12</f>
        <v>Addyston</v>
      </c>
      <c r="AN12" s="6" t="str">
        <f t="shared" si="1"/>
        <v>Addyston</v>
      </c>
      <c r="AO12" s="6" t="b">
        <f t="shared" si="2"/>
        <v>1</v>
      </c>
    </row>
    <row r="13" spans="1:41" ht="12" customHeight="1" x14ac:dyDescent="0.2">
      <c r="A13" s="6" t="s">
        <v>195</v>
      </c>
      <c r="C13" s="6" t="s">
        <v>485</v>
      </c>
      <c r="E13" s="8">
        <v>19484.11</v>
      </c>
      <c r="G13" s="8">
        <v>0</v>
      </c>
      <c r="I13" s="8">
        <v>0</v>
      </c>
      <c r="K13" s="8">
        <v>0</v>
      </c>
      <c r="M13" s="8">
        <v>0</v>
      </c>
      <c r="O13" s="8">
        <v>5254.42</v>
      </c>
      <c r="Q13" s="8">
        <v>47002.6</v>
      </c>
      <c r="S13" s="8">
        <v>0</v>
      </c>
      <c r="U13" s="8">
        <v>0</v>
      </c>
      <c r="W13" s="8">
        <v>0</v>
      </c>
      <c r="Y13" s="8">
        <v>0</v>
      </c>
      <c r="AA13" s="8">
        <v>0</v>
      </c>
      <c r="AC13" s="8">
        <v>0</v>
      </c>
      <c r="AE13" s="8">
        <f t="shared" si="0"/>
        <v>71741.13</v>
      </c>
      <c r="AF13" s="8"/>
      <c r="AG13" s="55">
        <v>3371.75</v>
      </c>
      <c r="AH13" s="55"/>
      <c r="AI13" s="55">
        <v>41366.39</v>
      </c>
      <c r="AJ13" s="55"/>
      <c r="AK13" s="55">
        <v>44738.14</v>
      </c>
      <c r="AL13" s="8">
        <f>+'Gov Rev'!AI13-'Gov Exp'!AE13+'Gov Exp'!AI13-'Gov Exp'!AK13</f>
        <v>0</v>
      </c>
      <c r="AM13" s="6" t="str">
        <f>'Gov Rev'!A13</f>
        <v>Adelphi</v>
      </c>
      <c r="AN13" s="6" t="str">
        <f t="shared" si="1"/>
        <v>Adelphi</v>
      </c>
      <c r="AO13" s="6" t="b">
        <f t="shared" si="2"/>
        <v>1</v>
      </c>
    </row>
    <row r="14" spans="1:41" ht="12" customHeight="1" x14ac:dyDescent="0.2">
      <c r="A14" s="6" t="s">
        <v>759</v>
      </c>
      <c r="C14" s="6" t="s">
        <v>390</v>
      </c>
      <c r="D14" s="11"/>
      <c r="E14" s="8">
        <v>164145</v>
      </c>
      <c r="G14" s="8">
        <v>0</v>
      </c>
      <c r="I14" s="8">
        <v>0</v>
      </c>
      <c r="K14" s="8">
        <v>0</v>
      </c>
      <c r="M14" s="8">
        <v>16018</v>
      </c>
      <c r="O14" s="8">
        <v>0</v>
      </c>
      <c r="Q14" s="8">
        <v>0</v>
      </c>
      <c r="S14" s="8">
        <v>0</v>
      </c>
      <c r="U14" s="8">
        <v>108499</v>
      </c>
      <c r="W14" s="8">
        <v>0</v>
      </c>
      <c r="Y14" s="8">
        <v>6600</v>
      </c>
      <c r="AA14" s="8">
        <v>0</v>
      </c>
      <c r="AC14" s="8">
        <v>9500</v>
      </c>
      <c r="AE14" s="8">
        <f t="shared" si="0"/>
        <v>304762</v>
      </c>
      <c r="AF14" s="8"/>
      <c r="AG14" s="55"/>
      <c r="AH14" s="55"/>
      <c r="AI14" s="55"/>
      <c r="AJ14" s="55"/>
      <c r="AK14" s="55"/>
      <c r="AL14" s="8">
        <f>+'Gov Rev'!AI14-'Gov Exp'!AE14+'Gov Exp'!AI14-'Gov Exp'!AK14</f>
        <v>31533</v>
      </c>
      <c r="AM14" s="6" t="str">
        <f>'Gov Rev'!A14</f>
        <v>Adena</v>
      </c>
      <c r="AN14" s="6" t="str">
        <f t="shared" si="1"/>
        <v>Adena</v>
      </c>
      <c r="AO14" s="6" t="b">
        <f t="shared" si="2"/>
        <v>1</v>
      </c>
    </row>
    <row r="15" spans="1:41" ht="12" customHeight="1" x14ac:dyDescent="0.2">
      <c r="A15" s="6" t="s">
        <v>252</v>
      </c>
      <c r="C15" s="6" t="s">
        <v>253</v>
      </c>
      <c r="E15" s="8">
        <v>52184.15</v>
      </c>
      <c r="G15" s="8">
        <v>0</v>
      </c>
      <c r="I15" s="8">
        <v>836.3</v>
      </c>
      <c r="K15" s="8">
        <v>0</v>
      </c>
      <c r="M15" s="8">
        <v>0</v>
      </c>
      <c r="O15" s="8">
        <v>101532.41</v>
      </c>
      <c r="Q15" s="8">
        <v>74961.850000000006</v>
      </c>
      <c r="S15" s="8">
        <v>8987.5</v>
      </c>
      <c r="U15" s="8">
        <v>0</v>
      </c>
      <c r="W15" s="8">
        <v>0</v>
      </c>
      <c r="Y15" s="8">
        <v>0</v>
      </c>
      <c r="AA15" s="8">
        <v>0</v>
      </c>
      <c r="AC15" s="8">
        <v>0</v>
      </c>
      <c r="AE15" s="8">
        <f t="shared" si="0"/>
        <v>238502.21000000002</v>
      </c>
      <c r="AF15" s="8"/>
      <c r="AG15" s="55">
        <v>-13998.62</v>
      </c>
      <c r="AH15" s="55"/>
      <c r="AI15" s="55">
        <v>212118.82</v>
      </c>
      <c r="AJ15" s="55"/>
      <c r="AK15" s="55">
        <v>198120.2</v>
      </c>
      <c r="AL15" s="8">
        <f>+'Gov Rev'!AI15-'Gov Exp'!AE15+'Gov Exp'!AI15-'Gov Exp'!AK15</f>
        <v>0</v>
      </c>
      <c r="AM15" s="6" t="str">
        <f>'Gov Rev'!A15</f>
        <v>Albany</v>
      </c>
      <c r="AN15" s="6" t="str">
        <f t="shared" si="1"/>
        <v>Albany</v>
      </c>
      <c r="AO15" s="6" t="b">
        <f t="shared" si="2"/>
        <v>1</v>
      </c>
    </row>
    <row r="16" spans="1:41" ht="12" customHeight="1" x14ac:dyDescent="0.2">
      <c r="A16" s="6" t="s">
        <v>121</v>
      </c>
      <c r="C16" s="6" t="s">
        <v>408</v>
      </c>
      <c r="E16" s="8">
        <v>9423.1299999999992</v>
      </c>
      <c r="G16" s="8">
        <v>0</v>
      </c>
      <c r="I16" s="8">
        <v>3214.65</v>
      </c>
      <c r="K16" s="8">
        <v>1258.8</v>
      </c>
      <c r="M16" s="8">
        <v>0</v>
      </c>
      <c r="O16" s="8">
        <v>21074.880000000001</v>
      </c>
      <c r="Q16" s="8">
        <v>53930.7</v>
      </c>
      <c r="S16" s="8">
        <v>3127.28</v>
      </c>
      <c r="U16" s="8">
        <v>4278.72</v>
      </c>
      <c r="W16" s="8">
        <v>2173.7199999999998</v>
      </c>
      <c r="Y16" s="8">
        <v>2382</v>
      </c>
      <c r="AA16" s="8">
        <v>0</v>
      </c>
      <c r="AC16" s="8">
        <v>0</v>
      </c>
      <c r="AE16" s="8">
        <f t="shared" si="0"/>
        <v>100863.88</v>
      </c>
      <c r="AF16" s="8"/>
      <c r="AG16" s="55">
        <v>20523.439999999999</v>
      </c>
      <c r="AH16" s="55"/>
      <c r="AI16" s="55">
        <v>42463.43</v>
      </c>
      <c r="AJ16" s="55"/>
      <c r="AK16" s="55">
        <v>62986.87</v>
      </c>
      <c r="AL16" s="8">
        <f>+'Gov Rev'!AI16-'Gov Exp'!AE16+'Gov Exp'!AI16-'Gov Exp'!AK16</f>
        <v>0</v>
      </c>
      <c r="AM16" s="6" t="str">
        <f>'Gov Rev'!A16</f>
        <v>Alexandria</v>
      </c>
      <c r="AN16" s="6" t="str">
        <f t="shared" si="1"/>
        <v>Alexandria</v>
      </c>
      <c r="AO16" s="6" t="b">
        <f t="shared" si="2"/>
        <v>1</v>
      </c>
    </row>
    <row r="17" spans="1:41" ht="12" customHeight="1" x14ac:dyDescent="0.2">
      <c r="A17" s="6" t="s">
        <v>652</v>
      </c>
      <c r="C17" s="6" t="s">
        <v>366</v>
      </c>
      <c r="E17" s="8">
        <v>19588.54</v>
      </c>
      <c r="G17" s="8">
        <v>2584</v>
      </c>
      <c r="I17" s="8">
        <v>3343.32</v>
      </c>
      <c r="K17" s="8">
        <v>0</v>
      </c>
      <c r="M17" s="8">
        <v>0</v>
      </c>
      <c r="O17" s="8">
        <v>42455.02</v>
      </c>
      <c r="Q17" s="8">
        <v>86407.48</v>
      </c>
      <c r="S17" s="8">
        <v>3591.08</v>
      </c>
      <c r="U17" s="8">
        <v>4000</v>
      </c>
      <c r="W17" s="8">
        <v>2400</v>
      </c>
      <c r="Y17" s="8">
        <v>0</v>
      </c>
      <c r="AA17" s="8">
        <v>0</v>
      </c>
      <c r="AC17" s="8">
        <v>0</v>
      </c>
      <c r="AE17" s="8">
        <f t="shared" si="0"/>
        <v>164369.43999999997</v>
      </c>
      <c r="AF17" s="8"/>
      <c r="AG17" s="55">
        <v>-1584.49</v>
      </c>
      <c r="AH17" s="55"/>
      <c r="AI17" s="55">
        <v>238042.11</v>
      </c>
      <c r="AJ17" s="55"/>
      <c r="AK17" s="55">
        <v>236457.62</v>
      </c>
      <c r="AL17" s="8">
        <f>+'Gov Rev'!AI17-'Gov Exp'!AE17+'Gov Exp'!AI17-'Gov Exp'!AK17</f>
        <v>0</v>
      </c>
      <c r="AM17" s="6" t="str">
        <f>'Gov Rev'!A17</f>
        <v>Alger</v>
      </c>
      <c r="AN17" s="6" t="str">
        <f t="shared" si="1"/>
        <v>Alger</v>
      </c>
      <c r="AO17" s="6" t="b">
        <f t="shared" si="2"/>
        <v>1</v>
      </c>
    </row>
    <row r="18" spans="1:41" ht="12" customHeight="1" x14ac:dyDescent="0.2">
      <c r="A18" s="6" t="s">
        <v>618</v>
      </c>
      <c r="C18" s="6" t="s">
        <v>327</v>
      </c>
      <c r="E18" s="8">
        <v>10842.42</v>
      </c>
      <c r="G18" s="8">
        <v>0</v>
      </c>
      <c r="I18" s="8">
        <v>15622.31</v>
      </c>
      <c r="K18" s="8">
        <v>0</v>
      </c>
      <c r="M18" s="8">
        <v>50442.11</v>
      </c>
      <c r="O18" s="8">
        <v>39390.46</v>
      </c>
      <c r="Q18" s="8">
        <v>62160.3</v>
      </c>
      <c r="S18" s="8">
        <v>0</v>
      </c>
      <c r="U18" s="8">
        <v>0</v>
      </c>
      <c r="W18" s="8">
        <v>0</v>
      </c>
      <c r="Y18" s="8">
        <v>0</v>
      </c>
      <c r="AA18" s="8">
        <v>0</v>
      </c>
      <c r="AC18" s="8">
        <v>0</v>
      </c>
      <c r="AE18" s="8">
        <f t="shared" si="0"/>
        <v>178457.59999999998</v>
      </c>
      <c r="AF18" s="8"/>
      <c r="AG18" s="55">
        <v>20851.46</v>
      </c>
      <c r="AH18" s="55"/>
      <c r="AI18" s="55">
        <v>111039.6</v>
      </c>
      <c r="AJ18" s="55"/>
      <c r="AK18" s="55">
        <v>131891.06</v>
      </c>
      <c r="AL18" s="8">
        <f>+'Gov Rev'!AI18-'Gov Exp'!AE18+'Gov Exp'!AI18-'Gov Exp'!AK18</f>
        <v>0</v>
      </c>
      <c r="AM18" s="6" t="str">
        <f>'Gov Rev'!A18</f>
        <v>Amanda</v>
      </c>
      <c r="AN18" s="6" t="str">
        <f t="shared" si="1"/>
        <v>Amanda</v>
      </c>
      <c r="AO18" s="6" t="b">
        <f t="shared" si="2"/>
        <v>1</v>
      </c>
    </row>
    <row r="19" spans="1:41" ht="12" customHeight="1" x14ac:dyDescent="0.2">
      <c r="A19" s="6" t="s">
        <v>350</v>
      </c>
      <c r="C19" s="6" t="s">
        <v>351</v>
      </c>
      <c r="E19" s="8">
        <v>2822815.47</v>
      </c>
      <c r="G19" s="8">
        <v>140091.18</v>
      </c>
      <c r="I19" s="8">
        <v>190</v>
      </c>
      <c r="K19" s="8">
        <v>0</v>
      </c>
      <c r="M19" s="8">
        <v>193518.93</v>
      </c>
      <c r="O19" s="8">
        <v>1235540.69</v>
      </c>
      <c r="Q19" s="8">
        <v>1176153.42</v>
      </c>
      <c r="S19" s="8">
        <v>42621</v>
      </c>
      <c r="U19" s="8">
        <v>214.62</v>
      </c>
      <c r="W19" s="8">
        <v>0</v>
      </c>
      <c r="Y19" s="8">
        <v>499460</v>
      </c>
      <c r="AA19" s="8">
        <v>0</v>
      </c>
      <c r="AC19" s="8">
        <v>40552.160000000003</v>
      </c>
      <c r="AE19" s="8">
        <f t="shared" si="0"/>
        <v>6151157.4700000007</v>
      </c>
      <c r="AF19" s="8"/>
      <c r="AG19" s="55">
        <v>1116053.92</v>
      </c>
      <c r="AH19" s="55"/>
      <c r="AI19" s="55">
        <v>2987024.83</v>
      </c>
      <c r="AJ19" s="55"/>
      <c r="AK19" s="55">
        <v>4103078.75</v>
      </c>
      <c r="AL19" s="8">
        <f>+'Gov Rev'!AI19-'Gov Exp'!AE19+'Gov Exp'!AI19-'Gov Exp'!AK19</f>
        <v>0</v>
      </c>
      <c r="AM19" s="6" t="str">
        <f>'Gov Rev'!A19</f>
        <v>Amberley</v>
      </c>
      <c r="AN19" s="6" t="str">
        <f t="shared" si="1"/>
        <v>Amberley</v>
      </c>
      <c r="AO19" s="6" t="b">
        <f t="shared" si="2"/>
        <v>1</v>
      </c>
    </row>
    <row r="20" spans="1:41" ht="12" customHeight="1" x14ac:dyDescent="0.2">
      <c r="A20" s="6" t="s">
        <v>35</v>
      </c>
      <c r="C20" s="6" t="s">
        <v>277</v>
      </c>
      <c r="E20" s="8">
        <v>882043.74</v>
      </c>
      <c r="G20" s="8">
        <v>28632.94</v>
      </c>
      <c r="I20" s="8">
        <v>20803.48</v>
      </c>
      <c r="K20" s="8">
        <v>14643.65</v>
      </c>
      <c r="M20" s="8">
        <v>11236.49</v>
      </c>
      <c r="O20" s="8">
        <v>153537.09</v>
      </c>
      <c r="Q20" s="8">
        <v>281635.14</v>
      </c>
      <c r="S20" s="8">
        <v>470430.92</v>
      </c>
      <c r="U20" s="8">
        <v>577276.78</v>
      </c>
      <c r="W20" s="8">
        <v>11139.21</v>
      </c>
      <c r="Y20" s="8">
        <v>0</v>
      </c>
      <c r="AA20" s="8">
        <v>30000</v>
      </c>
      <c r="AC20" s="8">
        <v>87180.98</v>
      </c>
      <c r="AE20" s="8">
        <f t="shared" si="0"/>
        <v>2568560.4199999995</v>
      </c>
      <c r="AF20" s="8"/>
      <c r="AG20" s="55">
        <v>-110743.77</v>
      </c>
      <c r="AH20" s="55"/>
      <c r="AI20" s="55">
        <v>1241639.42</v>
      </c>
      <c r="AJ20" s="55"/>
      <c r="AK20" s="55">
        <v>1130895.6499999999</v>
      </c>
      <c r="AL20" s="8">
        <f>+'Gov Rev'!AI20-'Gov Exp'!AE20+'Gov Exp'!AI20-'Gov Exp'!AK20</f>
        <v>0</v>
      </c>
      <c r="AM20" s="6" t="str">
        <f>'Gov Rev'!A20</f>
        <v>Amelia</v>
      </c>
      <c r="AN20" s="6" t="str">
        <f t="shared" si="1"/>
        <v>Amelia</v>
      </c>
      <c r="AO20" s="6" t="b">
        <f t="shared" si="2"/>
        <v>1</v>
      </c>
    </row>
    <row r="21" spans="1:41" ht="12" customHeight="1" x14ac:dyDescent="0.2">
      <c r="A21" s="6" t="s">
        <v>9</v>
      </c>
      <c r="C21" s="6" t="s">
        <v>253</v>
      </c>
      <c r="E21" s="8">
        <v>19915.86</v>
      </c>
      <c r="G21" s="8">
        <v>45</v>
      </c>
      <c r="I21" s="8">
        <v>17026.82</v>
      </c>
      <c r="K21" s="8">
        <v>0</v>
      </c>
      <c r="M21" s="8">
        <v>0</v>
      </c>
      <c r="O21" s="8">
        <v>5875.58</v>
      </c>
      <c r="Q21" s="8">
        <v>23788.95</v>
      </c>
      <c r="S21" s="8">
        <v>0</v>
      </c>
      <c r="U21" s="8">
        <v>0</v>
      </c>
      <c r="W21" s="8">
        <v>0</v>
      </c>
      <c r="Y21" s="8">
        <v>14000</v>
      </c>
      <c r="AA21" s="8">
        <v>0</v>
      </c>
      <c r="AC21" s="8">
        <v>0</v>
      </c>
      <c r="AE21" s="8">
        <f t="shared" si="0"/>
        <v>80652.210000000006</v>
      </c>
      <c r="AF21" s="8"/>
      <c r="AG21" s="55">
        <v>-4187.67</v>
      </c>
      <c r="AH21" s="55"/>
      <c r="AI21" s="55">
        <v>64453.86</v>
      </c>
      <c r="AJ21" s="55"/>
      <c r="AK21" s="55">
        <v>60266.19</v>
      </c>
      <c r="AL21" s="8">
        <f>+'Gov Rev'!AI21-'Gov Exp'!AE21+'Gov Exp'!AI21-'Gov Exp'!AK21</f>
        <v>0</v>
      </c>
      <c r="AM21" s="6" t="str">
        <f>'Gov Rev'!A21</f>
        <v>Amesville</v>
      </c>
      <c r="AN21" s="6" t="str">
        <f t="shared" si="1"/>
        <v>Amesville</v>
      </c>
      <c r="AO21" s="6" t="b">
        <f t="shared" si="2"/>
        <v>1</v>
      </c>
    </row>
    <row r="22" spans="1:41" ht="12" customHeight="1" x14ac:dyDescent="0.2">
      <c r="A22" s="6" t="s">
        <v>391</v>
      </c>
      <c r="C22" s="6" t="s">
        <v>390</v>
      </c>
      <c r="E22" s="8">
        <f>18235+8983</f>
        <v>27218</v>
      </c>
      <c r="G22" s="8">
        <v>587</v>
      </c>
      <c r="I22" s="8">
        <v>7602</v>
      </c>
      <c r="K22" s="8">
        <v>0</v>
      </c>
      <c r="M22" s="8">
        <v>0</v>
      </c>
      <c r="O22" s="8">
        <v>23374</v>
      </c>
      <c r="Q22" s="8">
        <f>26676+6466</f>
        <v>33142</v>
      </c>
      <c r="S22" s="8">
        <f>4661+20000</f>
        <v>24661</v>
      </c>
      <c r="U22" s="8">
        <v>0</v>
      </c>
      <c r="W22" s="8">
        <v>0</v>
      </c>
      <c r="Y22" s="8">
        <v>-500</v>
      </c>
      <c r="AA22" s="8">
        <v>0</v>
      </c>
      <c r="AC22" s="8">
        <v>-744</v>
      </c>
      <c r="AE22" s="8">
        <f t="shared" si="0"/>
        <v>115340</v>
      </c>
      <c r="AF22" s="8"/>
      <c r="AG22" s="55"/>
      <c r="AH22" s="55"/>
      <c r="AI22" s="55"/>
      <c r="AJ22" s="55"/>
      <c r="AK22" s="55"/>
      <c r="AL22" s="8">
        <f>+'Gov Rev'!AI22-'Gov Exp'!AE22+'Gov Exp'!AI22-'Gov Exp'!AK22</f>
        <v>-10855</v>
      </c>
      <c r="AM22" s="6" t="str">
        <f>'Gov Rev'!A22</f>
        <v>Amsterdam</v>
      </c>
      <c r="AN22" s="6" t="str">
        <f t="shared" si="1"/>
        <v>Amsterdam</v>
      </c>
      <c r="AO22" s="6" t="b">
        <f t="shared" si="2"/>
        <v>1</v>
      </c>
    </row>
    <row r="23" spans="1:41" s="14" customFormat="1" ht="12" customHeight="1" x14ac:dyDescent="0.2">
      <c r="A23" s="6" t="s">
        <v>793</v>
      </c>
      <c r="B23" s="6"/>
      <c r="C23" s="6" t="s">
        <v>624</v>
      </c>
      <c r="D23" s="6"/>
      <c r="E23" s="8">
        <v>337874.62</v>
      </c>
      <c r="F23" s="8"/>
      <c r="G23" s="8">
        <v>12620.05</v>
      </c>
      <c r="H23" s="8"/>
      <c r="I23" s="8">
        <v>12783.55</v>
      </c>
      <c r="J23" s="8"/>
      <c r="K23" s="8">
        <v>6065.11</v>
      </c>
      <c r="L23" s="8"/>
      <c r="M23" s="8">
        <v>1365.35</v>
      </c>
      <c r="N23" s="8"/>
      <c r="O23" s="8">
        <v>99262.95</v>
      </c>
      <c r="P23" s="8"/>
      <c r="Q23" s="8">
        <v>191803.7</v>
      </c>
      <c r="R23" s="8"/>
      <c r="S23" s="8">
        <v>5613.74</v>
      </c>
      <c r="T23" s="8"/>
      <c r="U23" s="8">
        <v>116566.2</v>
      </c>
      <c r="V23" s="8"/>
      <c r="W23" s="8">
        <v>20000</v>
      </c>
      <c r="X23" s="8"/>
      <c r="Y23" s="8">
        <v>692.72</v>
      </c>
      <c r="Z23" s="8"/>
      <c r="AA23" s="8">
        <v>0</v>
      </c>
      <c r="AB23" s="8"/>
      <c r="AC23" s="8">
        <v>0</v>
      </c>
      <c r="AD23" s="8"/>
      <c r="AE23" s="8">
        <f t="shared" si="0"/>
        <v>804647.98999999987</v>
      </c>
      <c r="AF23" s="8"/>
      <c r="AG23" s="55">
        <v>41442.39</v>
      </c>
      <c r="AH23" s="55"/>
      <c r="AI23" s="55">
        <v>198556.11</v>
      </c>
      <c r="AJ23" s="55"/>
      <c r="AK23" s="55">
        <v>239998.5</v>
      </c>
      <c r="AL23" s="8">
        <f>+'Gov Rev'!AI23-'Gov Exp'!AE23+'Gov Exp'!AI23-'Gov Exp'!AK23</f>
        <v>0</v>
      </c>
      <c r="AM23" s="6" t="str">
        <f>'Gov Rev'!A23</f>
        <v>Andover</v>
      </c>
      <c r="AN23" s="6" t="str">
        <f t="shared" si="1"/>
        <v>Andover</v>
      </c>
      <c r="AO23" s="6" t="b">
        <f t="shared" si="2"/>
        <v>1</v>
      </c>
    </row>
    <row r="24" spans="1:41" ht="12" customHeight="1" x14ac:dyDescent="0.2">
      <c r="A24" s="6" t="s">
        <v>206</v>
      </c>
      <c r="C24" s="6" t="s">
        <v>498</v>
      </c>
      <c r="E24" s="8">
        <v>379673.48</v>
      </c>
      <c r="G24" s="8">
        <v>5121</v>
      </c>
      <c r="I24" s="8">
        <v>39637.08</v>
      </c>
      <c r="K24" s="8">
        <v>168</v>
      </c>
      <c r="M24" s="8">
        <v>0</v>
      </c>
      <c r="O24" s="8">
        <v>167938.38</v>
      </c>
      <c r="Q24" s="8">
        <v>163904.48000000001</v>
      </c>
      <c r="S24" s="8">
        <v>118812.41</v>
      </c>
      <c r="U24" s="8">
        <v>125013.74</v>
      </c>
      <c r="W24" s="8">
        <v>38342.11</v>
      </c>
      <c r="Y24" s="8">
        <v>383021.4</v>
      </c>
      <c r="AA24" s="8">
        <v>25000</v>
      </c>
      <c r="AC24" s="8">
        <v>3000</v>
      </c>
      <c r="AE24" s="8">
        <f t="shared" si="0"/>
        <v>1449632.08</v>
      </c>
      <c r="AF24" s="8"/>
      <c r="AG24" s="55">
        <v>-84594.23</v>
      </c>
      <c r="AH24" s="55"/>
      <c r="AI24" s="55">
        <v>616879.62</v>
      </c>
      <c r="AJ24" s="55"/>
      <c r="AK24" s="55">
        <v>532285.39</v>
      </c>
      <c r="AL24" s="8">
        <f>+'Gov Rev'!AI24-'Gov Exp'!AE24+'Gov Exp'!AI24-'Gov Exp'!AK24</f>
        <v>0</v>
      </c>
      <c r="AM24" s="6" t="str">
        <f>'Gov Rev'!A24</f>
        <v>Anna</v>
      </c>
      <c r="AN24" s="6" t="str">
        <f t="shared" si="1"/>
        <v>Anna</v>
      </c>
      <c r="AO24" s="6" t="b">
        <f t="shared" si="2"/>
        <v>1</v>
      </c>
    </row>
    <row r="25" spans="1:41" ht="12" customHeight="1" x14ac:dyDescent="0.2">
      <c r="A25" s="6" t="s">
        <v>305</v>
      </c>
      <c r="C25" s="6" t="s">
        <v>306</v>
      </c>
      <c r="E25" s="8">
        <v>170332</v>
      </c>
      <c r="G25" s="8">
        <v>8579</v>
      </c>
      <c r="I25" s="8">
        <v>14732</v>
      </c>
      <c r="K25" s="8">
        <v>0</v>
      </c>
      <c r="M25" s="8">
        <v>0</v>
      </c>
      <c r="O25" s="8">
        <v>61476</v>
      </c>
      <c r="Q25" s="8">
        <v>129265</v>
      </c>
      <c r="S25" s="8">
        <v>351994</v>
      </c>
      <c r="U25" s="8">
        <v>40500</v>
      </c>
      <c r="W25" s="8">
        <v>8548</v>
      </c>
      <c r="Y25" s="8">
        <v>69048</v>
      </c>
      <c r="AA25" s="8">
        <v>0</v>
      </c>
      <c r="AC25" s="8">
        <v>0</v>
      </c>
      <c r="AE25" s="8">
        <f t="shared" si="0"/>
        <v>854474</v>
      </c>
      <c r="AF25" s="8"/>
      <c r="AG25" s="55"/>
      <c r="AH25" s="55"/>
      <c r="AI25" s="55"/>
      <c r="AJ25" s="55"/>
      <c r="AK25" s="55"/>
      <c r="AL25" s="8">
        <f>+'Gov Rev'!AI25-'Gov Exp'!AE25+'Gov Exp'!AI25-'Gov Exp'!AK25</f>
        <v>-34594</v>
      </c>
      <c r="AM25" s="6" t="str">
        <f>'Gov Rev'!A25</f>
        <v>Ansonia</v>
      </c>
      <c r="AN25" s="6" t="str">
        <f t="shared" si="1"/>
        <v>Ansonia</v>
      </c>
      <c r="AO25" s="6" t="b">
        <f t="shared" si="2"/>
        <v>1</v>
      </c>
    </row>
    <row r="26" spans="1:41" ht="12" customHeight="1" x14ac:dyDescent="0.2">
      <c r="A26" s="6" t="s">
        <v>440</v>
      </c>
      <c r="C26" s="6" t="s">
        <v>441</v>
      </c>
      <c r="E26" s="8">
        <v>1997</v>
      </c>
      <c r="G26" s="8">
        <v>3315</v>
      </c>
      <c r="I26" s="8">
        <v>10</v>
      </c>
      <c r="K26" s="8">
        <v>0</v>
      </c>
      <c r="M26" s="8">
        <v>0</v>
      </c>
      <c r="O26" s="8">
        <v>1320</v>
      </c>
      <c r="Q26" s="8">
        <v>4364</v>
      </c>
      <c r="S26" s="8">
        <v>0</v>
      </c>
      <c r="U26" s="8">
        <v>0</v>
      </c>
      <c r="W26" s="8">
        <v>0</v>
      </c>
      <c r="Y26" s="8">
        <v>0</v>
      </c>
      <c r="AA26" s="8">
        <v>0</v>
      </c>
      <c r="AC26" s="8">
        <v>0</v>
      </c>
      <c r="AE26" s="8">
        <f t="shared" si="0"/>
        <v>11006</v>
      </c>
      <c r="AF26" s="8"/>
      <c r="AG26" s="55"/>
      <c r="AH26" s="55"/>
      <c r="AI26" s="55"/>
      <c r="AJ26" s="55"/>
      <c r="AK26" s="55"/>
      <c r="AL26" s="8">
        <f>+'Gov Rev'!AI26-'Gov Exp'!AE26+'Gov Exp'!AI26-'Gov Exp'!AK26</f>
        <v>15704</v>
      </c>
      <c r="AM26" s="6" t="str">
        <f>'Gov Rev'!A26</f>
        <v>Antioch</v>
      </c>
      <c r="AN26" s="6" t="str">
        <f t="shared" si="1"/>
        <v>Antioch</v>
      </c>
      <c r="AO26" s="6" t="b">
        <f t="shared" si="2"/>
        <v>1</v>
      </c>
    </row>
    <row r="27" spans="1:41" s="18" customFormat="1" ht="12" customHeight="1" x14ac:dyDescent="0.2">
      <c r="A27" s="6" t="s">
        <v>459</v>
      </c>
      <c r="B27" s="6"/>
      <c r="C27" s="6" t="s">
        <v>460</v>
      </c>
      <c r="D27" s="6"/>
      <c r="E27" s="8">
        <v>307230</v>
      </c>
      <c r="F27" s="8"/>
      <c r="G27" s="8">
        <v>531</v>
      </c>
      <c r="H27" s="8"/>
      <c r="I27" s="8">
        <v>34212</v>
      </c>
      <c r="J27" s="8"/>
      <c r="K27" s="8">
        <v>1220</v>
      </c>
      <c r="L27" s="8"/>
      <c r="M27" s="8">
        <v>0</v>
      </c>
      <c r="N27" s="8"/>
      <c r="O27" s="8">
        <v>68799</v>
      </c>
      <c r="P27" s="8"/>
      <c r="Q27" s="8">
        <v>199800</v>
      </c>
      <c r="R27" s="8"/>
      <c r="S27" s="8">
        <v>373940</v>
      </c>
      <c r="T27" s="8"/>
      <c r="U27" s="8">
        <v>1673</v>
      </c>
      <c r="V27" s="8"/>
      <c r="W27" s="8">
        <v>0</v>
      </c>
      <c r="X27" s="8"/>
      <c r="Y27" s="8">
        <v>183000</v>
      </c>
      <c r="Z27" s="8"/>
      <c r="AA27" s="8">
        <v>38246</v>
      </c>
      <c r="AB27" s="8"/>
      <c r="AC27" s="8">
        <v>14237</v>
      </c>
      <c r="AD27" s="8"/>
      <c r="AE27" s="8">
        <f t="shared" si="0"/>
        <v>1222888</v>
      </c>
      <c r="AF27" s="8"/>
      <c r="AG27" s="55"/>
      <c r="AH27" s="55"/>
      <c r="AI27" s="55"/>
      <c r="AJ27" s="55"/>
      <c r="AK27" s="55"/>
      <c r="AL27" s="8">
        <f>+'Gov Rev'!AI27-'Gov Exp'!AE27+'Gov Exp'!AI27-'Gov Exp'!AK27</f>
        <v>15550</v>
      </c>
      <c r="AM27" s="6" t="str">
        <f>'Gov Rev'!A27</f>
        <v>Antwerp</v>
      </c>
      <c r="AN27" s="6" t="str">
        <f t="shared" si="1"/>
        <v>Antwerp</v>
      </c>
      <c r="AO27" s="6" t="b">
        <f t="shared" si="2"/>
        <v>1</v>
      </c>
    </row>
    <row r="28" spans="1:41" ht="12" customHeight="1" x14ac:dyDescent="0.2">
      <c r="A28" s="6" t="s">
        <v>546</v>
      </c>
      <c r="C28" s="6" t="s">
        <v>547</v>
      </c>
      <c r="E28" s="8">
        <v>183299</v>
      </c>
      <c r="G28" s="8">
        <v>0</v>
      </c>
      <c r="I28" s="8">
        <v>9474</v>
      </c>
      <c r="K28" s="8">
        <v>0</v>
      </c>
      <c r="M28" s="8">
        <v>0</v>
      </c>
      <c r="O28" s="8">
        <v>159182</v>
      </c>
      <c r="Q28" s="8">
        <v>72718</v>
      </c>
      <c r="S28" s="8">
        <v>58252</v>
      </c>
      <c r="U28" s="8">
        <v>0</v>
      </c>
      <c r="W28" s="8">
        <v>0</v>
      </c>
      <c r="Y28" s="8">
        <v>86872</v>
      </c>
      <c r="AA28" s="8">
        <v>0</v>
      </c>
      <c r="AC28" s="8">
        <v>763</v>
      </c>
      <c r="AE28" s="8">
        <f t="shared" si="0"/>
        <v>570560</v>
      </c>
      <c r="AF28" s="8"/>
      <c r="AG28" s="55"/>
      <c r="AH28" s="55"/>
      <c r="AI28" s="55"/>
      <c r="AJ28" s="55"/>
      <c r="AK28" s="55"/>
      <c r="AL28" s="8">
        <f>+'Gov Rev'!AI28-'Gov Exp'!AE28+'Gov Exp'!AI28-'Gov Exp'!AK28</f>
        <v>-38294</v>
      </c>
      <c r="AM28" s="6" t="str">
        <f>'Gov Rev'!A28</f>
        <v>Apple Creek</v>
      </c>
      <c r="AN28" s="6" t="str">
        <f t="shared" si="1"/>
        <v>Apple Creek</v>
      </c>
      <c r="AO28" s="6" t="b">
        <f t="shared" si="2"/>
        <v>1</v>
      </c>
    </row>
    <row r="29" spans="1:41" s="12" customFormat="1" ht="12" customHeight="1" x14ac:dyDescent="0.2">
      <c r="A29" s="6" t="s">
        <v>653</v>
      </c>
      <c r="B29" s="6"/>
      <c r="C29" s="6" t="s">
        <v>342</v>
      </c>
      <c r="D29" s="6"/>
      <c r="E29" s="8">
        <v>4471.6400000000003</v>
      </c>
      <c r="F29" s="8"/>
      <c r="G29" s="8">
        <v>0</v>
      </c>
      <c r="H29" s="8"/>
      <c r="I29" s="8">
        <v>2061.61</v>
      </c>
      <c r="J29" s="8"/>
      <c r="K29" s="8">
        <v>0</v>
      </c>
      <c r="L29" s="8"/>
      <c r="M29" s="8">
        <v>1167.02</v>
      </c>
      <c r="N29" s="8"/>
      <c r="O29" s="8">
        <v>11570</v>
      </c>
      <c r="P29" s="8"/>
      <c r="Q29" s="8">
        <v>37222.17</v>
      </c>
      <c r="R29" s="8"/>
      <c r="S29" s="8">
        <v>0</v>
      </c>
      <c r="T29" s="8"/>
      <c r="U29" s="8">
        <v>0</v>
      </c>
      <c r="V29" s="8"/>
      <c r="W29" s="8">
        <v>0</v>
      </c>
      <c r="X29" s="8"/>
      <c r="Y29" s="8">
        <v>0</v>
      </c>
      <c r="Z29" s="8"/>
      <c r="AA29" s="8">
        <v>0</v>
      </c>
      <c r="AB29" s="8"/>
      <c r="AC29" s="8">
        <v>0</v>
      </c>
      <c r="AD29" s="8"/>
      <c r="AE29" s="8">
        <f t="shared" si="0"/>
        <v>56492.44</v>
      </c>
      <c r="AF29" s="8"/>
      <c r="AG29" s="55">
        <v>7118.15</v>
      </c>
      <c r="AH29" s="55"/>
      <c r="AI29" s="55">
        <v>120444.62</v>
      </c>
      <c r="AJ29" s="55"/>
      <c r="AK29" s="55">
        <v>127562.77</v>
      </c>
      <c r="AL29" s="8">
        <f>+'Gov Rev'!AI29-'Gov Exp'!AE29+'Gov Exp'!AI29-'Gov Exp'!AK29</f>
        <v>0</v>
      </c>
      <c r="AM29" s="6" t="str">
        <f>'Gov Rev'!A29</f>
        <v>Aquilla</v>
      </c>
      <c r="AN29" s="6" t="str">
        <f t="shared" si="1"/>
        <v>Aquilla</v>
      </c>
      <c r="AO29" s="6" t="b">
        <f t="shared" si="2"/>
        <v>1</v>
      </c>
    </row>
    <row r="30" spans="1:41" ht="12" customHeight="1" x14ac:dyDescent="0.2">
      <c r="A30" s="6" t="s">
        <v>359</v>
      </c>
      <c r="C30" s="6" t="s">
        <v>360</v>
      </c>
      <c r="E30" s="8">
        <v>0</v>
      </c>
      <c r="G30" s="8">
        <v>2787.93</v>
      </c>
      <c r="I30" s="8">
        <v>1740.15</v>
      </c>
      <c r="K30" s="8">
        <v>5360.22</v>
      </c>
      <c r="M30" s="8">
        <v>0</v>
      </c>
      <c r="O30" s="8">
        <v>14174.03</v>
      </c>
      <c r="Q30" s="8">
        <v>121797.06</v>
      </c>
      <c r="S30" s="8">
        <v>60695.87</v>
      </c>
      <c r="U30" s="8">
        <v>0</v>
      </c>
      <c r="W30" s="8">
        <v>0</v>
      </c>
      <c r="Y30" s="8">
        <v>0</v>
      </c>
      <c r="AA30" s="8">
        <v>0</v>
      </c>
      <c r="AC30" s="8">
        <v>0</v>
      </c>
      <c r="AE30" s="8">
        <f t="shared" si="0"/>
        <v>206555.26</v>
      </c>
      <c r="AF30" s="8"/>
      <c r="AG30" s="55">
        <v>-96810.57</v>
      </c>
      <c r="AH30" s="55"/>
      <c r="AI30" s="55">
        <v>437072.15</v>
      </c>
      <c r="AJ30" s="55"/>
      <c r="AK30" s="55">
        <v>340261.58</v>
      </c>
      <c r="AL30" s="8">
        <f>+'Gov Rev'!AI30-'Gov Exp'!AE30+'Gov Exp'!AI30-'Gov Exp'!AK30</f>
        <v>0</v>
      </c>
      <c r="AM30" s="6" t="str">
        <f>'Gov Rev'!A30</f>
        <v>Arcadia</v>
      </c>
      <c r="AN30" s="6" t="str">
        <f t="shared" si="1"/>
        <v>Arcadia</v>
      </c>
      <c r="AO30" s="6" t="b">
        <f t="shared" si="2"/>
        <v>1</v>
      </c>
    </row>
    <row r="31" spans="1:41" ht="12" customHeight="1" x14ac:dyDescent="0.2">
      <c r="A31" s="6" t="s">
        <v>307</v>
      </c>
      <c r="C31" s="6" t="s">
        <v>306</v>
      </c>
      <c r="E31" s="8">
        <v>334042</v>
      </c>
      <c r="G31" s="8">
        <v>10105</v>
      </c>
      <c r="I31" s="8">
        <v>34224</v>
      </c>
      <c r="K31" s="8">
        <v>75107</v>
      </c>
      <c r="M31" s="8">
        <v>0</v>
      </c>
      <c r="O31" s="8">
        <v>90925</v>
      </c>
      <c r="Q31" s="8">
        <v>150313</v>
      </c>
      <c r="S31" s="8">
        <v>283699</v>
      </c>
      <c r="U31" s="8">
        <v>23821</v>
      </c>
      <c r="W31" s="8">
        <v>0</v>
      </c>
      <c r="Y31" s="8">
        <v>190285</v>
      </c>
      <c r="AA31" s="8">
        <v>0</v>
      </c>
      <c r="AC31" s="8">
        <v>0</v>
      </c>
      <c r="AE31" s="8">
        <f t="shared" si="0"/>
        <v>1192521</v>
      </c>
      <c r="AF31" s="8"/>
      <c r="AG31" s="55"/>
      <c r="AH31" s="55"/>
      <c r="AI31" s="55"/>
      <c r="AJ31" s="55"/>
      <c r="AK31" s="55"/>
      <c r="AL31" s="8">
        <f>+'Gov Rev'!AI31-'Gov Exp'!AE31+'Gov Exp'!AI31-'Gov Exp'!AK31</f>
        <v>182215</v>
      </c>
      <c r="AM31" s="6" t="str">
        <f>'Gov Rev'!A31</f>
        <v>Arcanum</v>
      </c>
      <c r="AN31" s="6" t="str">
        <f t="shared" si="1"/>
        <v>Arcanum</v>
      </c>
      <c r="AO31" s="6" t="b">
        <f t="shared" si="2"/>
        <v>1</v>
      </c>
    </row>
    <row r="32" spans="1:41" ht="12" customHeight="1" x14ac:dyDescent="0.2">
      <c r="A32" s="6" t="s">
        <v>331</v>
      </c>
      <c r="C32" s="6" t="s">
        <v>332</v>
      </c>
      <c r="E32" s="8">
        <v>1413853</v>
      </c>
      <c r="G32" s="8">
        <v>66983</v>
      </c>
      <c r="I32" s="8">
        <v>634340</v>
      </c>
      <c r="K32" s="8">
        <v>652008</v>
      </c>
      <c r="M32" s="8">
        <v>306184</v>
      </c>
      <c r="O32" s="8">
        <v>650607</v>
      </c>
      <c r="Q32" s="8">
        <v>709114</v>
      </c>
      <c r="S32" s="8">
        <v>1269816</v>
      </c>
      <c r="U32" s="8">
        <v>340000</v>
      </c>
      <c r="W32" s="8">
        <v>194478</v>
      </c>
      <c r="Y32" s="8">
        <v>2975000</v>
      </c>
      <c r="AA32" s="8">
        <v>50</v>
      </c>
      <c r="AC32" s="8">
        <v>110531</v>
      </c>
      <c r="AE32" s="8">
        <f t="shared" si="0"/>
        <v>9322964</v>
      </c>
      <c r="AF32" s="8"/>
      <c r="AG32" s="55"/>
      <c r="AH32" s="55"/>
      <c r="AI32" s="55"/>
      <c r="AJ32" s="55"/>
      <c r="AK32" s="55"/>
      <c r="AL32" s="8">
        <f>+'Gov Rev'!AI32-'Gov Exp'!AE32+'Gov Exp'!AI32-'Gov Exp'!AK32</f>
        <v>395803</v>
      </c>
      <c r="AM32" s="6" t="str">
        <f>'Gov Rev'!A32</f>
        <v>Archbold</v>
      </c>
      <c r="AN32" s="6" t="str">
        <f t="shared" si="1"/>
        <v>Archbold</v>
      </c>
      <c r="AO32" s="6" t="b">
        <f t="shared" si="2"/>
        <v>1</v>
      </c>
    </row>
    <row r="33" spans="1:41" ht="12" customHeight="1" x14ac:dyDescent="0.2">
      <c r="A33" s="6" t="s">
        <v>93</v>
      </c>
      <c r="C33" s="6" t="s">
        <v>360</v>
      </c>
      <c r="E33" s="8">
        <v>130036.73</v>
      </c>
      <c r="G33" s="8">
        <v>8099.42</v>
      </c>
      <c r="I33" s="8">
        <v>0</v>
      </c>
      <c r="K33" s="8">
        <v>0</v>
      </c>
      <c r="M33" s="8">
        <v>0</v>
      </c>
      <c r="O33" s="8">
        <v>92609.91</v>
      </c>
      <c r="Q33" s="8">
        <v>125525.2</v>
      </c>
      <c r="S33" s="8">
        <v>81925</v>
      </c>
      <c r="U33" s="8">
        <v>24239.06</v>
      </c>
      <c r="W33" s="8">
        <v>2160.94</v>
      </c>
      <c r="Y33" s="8">
        <v>97000</v>
      </c>
      <c r="AA33" s="8">
        <v>8056.8</v>
      </c>
      <c r="AC33" s="8">
        <v>10421.33</v>
      </c>
      <c r="AE33" s="8">
        <f t="shared" si="0"/>
        <v>580074.39</v>
      </c>
      <c r="AF33" s="8"/>
      <c r="AG33" s="55">
        <v>48715.67</v>
      </c>
      <c r="AH33" s="55"/>
      <c r="AI33" s="55">
        <v>303094.34000000003</v>
      </c>
      <c r="AJ33" s="55"/>
      <c r="AK33" s="55">
        <v>351810.01</v>
      </c>
      <c r="AL33" s="8">
        <f>+'Gov Rev'!AI33-'Gov Exp'!AE33+'Gov Exp'!AI33-'Gov Exp'!AK33</f>
        <v>0</v>
      </c>
      <c r="AM33" s="6" t="str">
        <f>'Gov Rev'!A33</f>
        <v>Arlington</v>
      </c>
      <c r="AN33" s="6" t="str">
        <f t="shared" si="1"/>
        <v>Arlington</v>
      </c>
      <c r="AO33" s="6" t="b">
        <f t="shared" si="2"/>
        <v>1</v>
      </c>
    </row>
    <row r="34" spans="1:41" ht="12" customHeight="1" x14ac:dyDescent="0.2">
      <c r="A34" s="6" t="s">
        <v>352</v>
      </c>
      <c r="C34" s="6" t="s">
        <v>351</v>
      </c>
      <c r="E34" s="8">
        <v>452954</v>
      </c>
      <c r="G34" s="8">
        <v>0</v>
      </c>
      <c r="I34" s="8">
        <v>3618</v>
      </c>
      <c r="K34" s="8">
        <v>0</v>
      </c>
      <c r="M34" s="8">
        <v>94251</v>
      </c>
      <c r="O34" s="8">
        <v>103537</v>
      </c>
      <c r="Q34" s="8">
        <v>441727</v>
      </c>
      <c r="S34" s="8">
        <v>34250</v>
      </c>
      <c r="U34" s="8">
        <v>30087</v>
      </c>
      <c r="W34" s="8">
        <v>0</v>
      </c>
      <c r="Y34" s="8">
        <v>0</v>
      </c>
      <c r="AA34" s="8">
        <v>0</v>
      </c>
      <c r="AC34" s="8">
        <v>0</v>
      </c>
      <c r="AE34" s="8">
        <f t="shared" si="0"/>
        <v>1160424</v>
      </c>
      <c r="AF34" s="8"/>
      <c r="AG34" s="55"/>
      <c r="AH34" s="55"/>
      <c r="AI34" s="55"/>
      <c r="AJ34" s="55"/>
      <c r="AK34" s="55"/>
      <c r="AL34" s="8">
        <f>+'Gov Rev'!AI34-'Gov Exp'!AE34+'Gov Exp'!AI34-'Gov Exp'!AK34</f>
        <v>26805</v>
      </c>
      <c r="AM34" s="6" t="str">
        <f>'Gov Rev'!A34</f>
        <v>Arlington Heights</v>
      </c>
      <c r="AN34" s="6" t="str">
        <f t="shared" si="1"/>
        <v>Arlington Heights</v>
      </c>
      <c r="AO34" s="6" t="b">
        <f t="shared" si="2"/>
        <v>1</v>
      </c>
    </row>
    <row r="35" spans="1:41" s="8" customFormat="1" ht="12" customHeight="1" x14ac:dyDescent="0.2">
      <c r="A35" s="6" t="s">
        <v>792</v>
      </c>
      <c r="B35" s="6"/>
      <c r="C35" s="6" t="s">
        <v>320</v>
      </c>
      <c r="D35" s="6"/>
      <c r="E35" s="8">
        <v>150625.46</v>
      </c>
      <c r="G35" s="8">
        <v>11139.1</v>
      </c>
      <c r="I35" s="8">
        <v>36036.5</v>
      </c>
      <c r="K35" s="8">
        <v>0</v>
      </c>
      <c r="M35" s="8">
        <v>72651.600000000006</v>
      </c>
      <c r="O35" s="8">
        <v>60343.32</v>
      </c>
      <c r="Q35" s="8">
        <v>130263.98</v>
      </c>
      <c r="S35" s="8">
        <v>0</v>
      </c>
      <c r="U35" s="8">
        <v>6186.36</v>
      </c>
      <c r="W35" s="8">
        <v>474.02</v>
      </c>
      <c r="Y35" s="8">
        <v>65000</v>
      </c>
      <c r="AA35" s="8">
        <v>0</v>
      </c>
      <c r="AC35" s="8">
        <v>0</v>
      </c>
      <c r="AE35" s="8">
        <f t="shared" si="0"/>
        <v>532720.34000000008</v>
      </c>
      <c r="AG35" s="55">
        <v>-18679.580000000002</v>
      </c>
      <c r="AH35" s="55"/>
      <c r="AI35" s="55">
        <v>178295.82</v>
      </c>
      <c r="AJ35" s="55"/>
      <c r="AK35" s="55">
        <v>159616.24</v>
      </c>
      <c r="AL35" s="8">
        <f>+'Gov Rev'!AI35-'Gov Exp'!AE35+'Gov Exp'!AI35-'Gov Exp'!AK35</f>
        <v>0</v>
      </c>
      <c r="AM35" s="6" t="str">
        <f>'Gov Rev'!A35</f>
        <v>Ashley</v>
      </c>
      <c r="AN35" s="6" t="str">
        <f t="shared" si="1"/>
        <v>Ashley</v>
      </c>
      <c r="AO35" s="6" t="b">
        <f t="shared" si="2"/>
        <v>1</v>
      </c>
    </row>
    <row r="36" spans="1:41" ht="12" customHeight="1" x14ac:dyDescent="0.2">
      <c r="A36" s="6" t="s">
        <v>719</v>
      </c>
      <c r="C36" s="6" t="s">
        <v>467</v>
      </c>
      <c r="E36" s="8">
        <v>713724.27</v>
      </c>
      <c r="G36" s="8">
        <v>8996.6200000000008</v>
      </c>
      <c r="I36" s="8">
        <v>33184.480000000003</v>
      </c>
      <c r="K36" s="8">
        <v>33444.870000000003</v>
      </c>
      <c r="M36" s="8">
        <v>330775.12</v>
      </c>
      <c r="O36" s="8">
        <v>411598.07</v>
      </c>
      <c r="Q36" s="8">
        <v>334509.03000000003</v>
      </c>
      <c r="S36" s="8">
        <v>52652.23</v>
      </c>
      <c r="U36" s="8">
        <v>24979</v>
      </c>
      <c r="W36" s="8">
        <v>2316</v>
      </c>
      <c r="Y36" s="8">
        <v>9905</v>
      </c>
      <c r="AA36" s="8">
        <v>0</v>
      </c>
      <c r="AC36" s="8">
        <v>0</v>
      </c>
      <c r="AE36" s="8">
        <f t="shared" si="0"/>
        <v>1956084.69</v>
      </c>
      <c r="AF36" s="8"/>
      <c r="AG36" s="55">
        <v>553.25</v>
      </c>
      <c r="AH36" s="55"/>
      <c r="AI36" s="55">
        <v>744309.84</v>
      </c>
      <c r="AJ36" s="55"/>
      <c r="AK36" s="55">
        <v>744863.09</v>
      </c>
      <c r="AL36" s="8">
        <f>+'Gov Rev'!AI36-'Gov Exp'!AE36+'Gov Exp'!AI36-'Gov Exp'!AK36</f>
        <v>0</v>
      </c>
      <c r="AM36" s="6" t="str">
        <f>'Gov Rev'!A36</f>
        <v>Ashville</v>
      </c>
      <c r="AN36" s="6" t="str">
        <f t="shared" si="1"/>
        <v>Ashville</v>
      </c>
      <c r="AO36" s="6" t="b">
        <f t="shared" si="2"/>
        <v>1</v>
      </c>
    </row>
    <row r="37" spans="1:41" ht="12" customHeight="1" x14ac:dyDescent="0.2">
      <c r="A37" s="6" t="s">
        <v>760</v>
      </c>
      <c r="C37" s="6" t="s">
        <v>406</v>
      </c>
      <c r="D37" s="11"/>
      <c r="E37" s="8">
        <v>0</v>
      </c>
      <c r="G37" s="8">
        <v>0</v>
      </c>
      <c r="I37" s="8">
        <v>0</v>
      </c>
      <c r="K37" s="8">
        <v>0</v>
      </c>
      <c r="M37" s="8">
        <v>0</v>
      </c>
      <c r="O37" s="8">
        <v>0</v>
      </c>
      <c r="Q37" s="8">
        <v>26456</v>
      </c>
      <c r="S37" s="8">
        <v>0</v>
      </c>
      <c r="U37" s="8">
        <v>0</v>
      </c>
      <c r="W37" s="8">
        <v>0</v>
      </c>
      <c r="Y37" s="8">
        <v>0</v>
      </c>
      <c r="AA37" s="8">
        <v>0</v>
      </c>
      <c r="AC37" s="8">
        <v>0</v>
      </c>
      <c r="AE37" s="8">
        <f t="shared" si="0"/>
        <v>26456</v>
      </c>
      <c r="AF37" s="8"/>
      <c r="AG37" s="55"/>
      <c r="AH37" s="55"/>
      <c r="AI37" s="55"/>
      <c r="AJ37" s="55"/>
      <c r="AK37" s="55"/>
      <c r="AL37" s="8">
        <f>+'Gov Rev'!AI37-'Gov Exp'!AE37+'Gov Exp'!AI37-'Gov Exp'!AK37</f>
        <v>8338</v>
      </c>
      <c r="AM37" s="6" t="str">
        <f>'Gov Rev'!A37</f>
        <v>Athalia</v>
      </c>
      <c r="AN37" s="6" t="str">
        <f t="shared" si="1"/>
        <v>Athalia</v>
      </c>
      <c r="AO37" s="6" t="b">
        <f t="shared" si="2"/>
        <v>1</v>
      </c>
    </row>
    <row r="38" spans="1:41" ht="12" customHeight="1" x14ac:dyDescent="0.2">
      <c r="A38" s="6" t="s">
        <v>203</v>
      </c>
      <c r="C38" s="6" t="s">
        <v>494</v>
      </c>
      <c r="E38" s="8">
        <v>117943.22</v>
      </c>
      <c r="G38" s="8">
        <v>2459</v>
      </c>
      <c r="I38" s="8">
        <v>17053.439999999999</v>
      </c>
      <c r="K38" s="8">
        <v>0</v>
      </c>
      <c r="M38" s="8">
        <v>0</v>
      </c>
      <c r="O38" s="8">
        <v>46637.41</v>
      </c>
      <c r="Q38" s="8">
        <v>58665.83</v>
      </c>
      <c r="S38" s="8">
        <v>1774.99</v>
      </c>
      <c r="U38" s="8">
        <v>25466.11</v>
      </c>
      <c r="W38" s="8">
        <v>5764.21</v>
      </c>
      <c r="Y38" s="8">
        <v>0</v>
      </c>
      <c r="AA38" s="8">
        <v>0</v>
      </c>
      <c r="AC38" s="8">
        <v>0</v>
      </c>
      <c r="AE38" s="8">
        <f t="shared" si="0"/>
        <v>275764.21000000002</v>
      </c>
      <c r="AF38" s="8"/>
      <c r="AG38" s="55">
        <v>-33783.85</v>
      </c>
      <c r="AH38" s="55"/>
      <c r="AI38" s="55">
        <v>246989.15</v>
      </c>
      <c r="AJ38" s="55"/>
      <c r="AK38" s="55">
        <v>213205.3</v>
      </c>
      <c r="AL38" s="8">
        <f>+'Gov Rev'!AI38-'Gov Exp'!AE38+'Gov Exp'!AI38-'Gov Exp'!AK38</f>
        <v>0</v>
      </c>
      <c r="AM38" s="6" t="str">
        <f>'Gov Rev'!A38</f>
        <v>Attica</v>
      </c>
      <c r="AN38" s="6" t="str">
        <f t="shared" si="1"/>
        <v>Attica</v>
      </c>
      <c r="AO38" s="6" t="b">
        <f t="shared" si="2"/>
        <v>1</v>
      </c>
    </row>
    <row r="39" spans="1:41" ht="12" customHeight="1" x14ac:dyDescent="0.2">
      <c r="A39" s="6" t="s">
        <v>620</v>
      </c>
      <c r="C39" s="6" t="s">
        <v>619</v>
      </c>
      <c r="D39" s="11"/>
      <c r="E39" s="8">
        <v>3934</v>
      </c>
      <c r="G39" s="8">
        <v>149</v>
      </c>
      <c r="I39" s="8">
        <v>3841</v>
      </c>
      <c r="K39" s="8">
        <v>2874</v>
      </c>
      <c r="M39" s="8">
        <v>0</v>
      </c>
      <c r="O39" s="8">
        <v>42136</v>
      </c>
      <c r="Q39" s="8">
        <v>25069</v>
      </c>
      <c r="S39" s="8">
        <v>0</v>
      </c>
      <c r="U39" s="8">
        <v>0</v>
      </c>
      <c r="W39" s="8">
        <v>0</v>
      </c>
      <c r="Y39" s="8">
        <v>0</v>
      </c>
      <c r="AA39" s="8">
        <v>0</v>
      </c>
      <c r="AC39" s="8">
        <v>0</v>
      </c>
      <c r="AE39" s="8">
        <f t="shared" si="0"/>
        <v>78003</v>
      </c>
      <c r="AF39" s="8"/>
      <c r="AG39" s="55"/>
      <c r="AH39" s="55"/>
      <c r="AI39" s="55"/>
      <c r="AJ39" s="55"/>
      <c r="AK39" s="55"/>
      <c r="AL39" s="8">
        <f>+'Gov Rev'!AI39-'Gov Exp'!AE39+'Gov Exp'!AI39-'Gov Exp'!AK39</f>
        <v>1344</v>
      </c>
      <c r="AM39" s="6" t="str">
        <f>'Gov Rev'!A39</f>
        <v>Bailey Lakes</v>
      </c>
      <c r="AN39" s="6" t="str">
        <f t="shared" si="1"/>
        <v>Bailey Lakes</v>
      </c>
      <c r="AO39" s="6" t="b">
        <f t="shared" si="2"/>
        <v>1</v>
      </c>
    </row>
    <row r="40" spans="1:41" ht="12" customHeight="1" x14ac:dyDescent="0.2">
      <c r="A40" s="6" t="s">
        <v>720</v>
      </c>
      <c r="C40" s="6" t="s">
        <v>485</v>
      </c>
      <c r="E40" s="8">
        <v>149880.20000000001</v>
      </c>
      <c r="G40" s="8">
        <v>0</v>
      </c>
      <c r="I40" s="8">
        <v>2079.9299999999998</v>
      </c>
      <c r="K40" s="8">
        <v>0</v>
      </c>
      <c r="M40" s="8">
        <v>0</v>
      </c>
      <c r="O40" s="8">
        <v>9407.61</v>
      </c>
      <c r="Q40" s="8">
        <v>80056.600000000006</v>
      </c>
      <c r="S40" s="8">
        <v>12884.56</v>
      </c>
      <c r="U40" s="8">
        <v>0</v>
      </c>
      <c r="W40" s="8">
        <v>0</v>
      </c>
      <c r="Y40" s="8">
        <v>0</v>
      </c>
      <c r="AA40" s="8">
        <v>0</v>
      </c>
      <c r="AC40" s="8">
        <v>0</v>
      </c>
      <c r="AE40" s="8">
        <f t="shared" si="0"/>
        <v>254308.9</v>
      </c>
      <c r="AF40" s="8"/>
      <c r="AG40" s="55">
        <v>-37080.43</v>
      </c>
      <c r="AH40" s="55"/>
      <c r="AI40" s="55">
        <v>567596.6</v>
      </c>
      <c r="AJ40" s="55"/>
      <c r="AK40" s="55">
        <v>530516.17000000004</v>
      </c>
      <c r="AL40" s="8">
        <f>+'Gov Rev'!AI40-'Gov Exp'!AE40+'Gov Exp'!AI40-'Gov Exp'!AK40</f>
        <v>0</v>
      </c>
      <c r="AM40" s="6" t="str">
        <f>'Gov Rev'!A40</f>
        <v>Bainbridge</v>
      </c>
      <c r="AN40" s="6" t="str">
        <f t="shared" si="1"/>
        <v>Bainbridge</v>
      </c>
      <c r="AO40" s="6" t="b">
        <f t="shared" si="2"/>
        <v>1</v>
      </c>
    </row>
    <row r="41" spans="1:41" ht="12" customHeight="1" x14ac:dyDescent="0.2">
      <c r="A41" s="6" t="s">
        <v>520</v>
      </c>
      <c r="C41" s="6" t="s">
        <v>521</v>
      </c>
      <c r="E41" s="8">
        <v>126031</v>
      </c>
      <c r="G41" s="8">
        <v>10981</v>
      </c>
      <c r="I41" s="8">
        <v>13926</v>
      </c>
      <c r="K41" s="8">
        <v>1008</v>
      </c>
      <c r="M41" s="8">
        <v>0</v>
      </c>
      <c r="O41" s="8">
        <v>126363</v>
      </c>
      <c r="Q41" s="8">
        <v>108700</v>
      </c>
      <c r="S41" s="8">
        <v>40787</v>
      </c>
      <c r="U41" s="8">
        <v>22660</v>
      </c>
      <c r="W41" s="8">
        <v>26466</v>
      </c>
      <c r="Y41" s="8">
        <v>5000</v>
      </c>
      <c r="AA41" s="8">
        <v>0</v>
      </c>
      <c r="AC41" s="8">
        <v>0</v>
      </c>
      <c r="AE41" s="8">
        <f t="shared" si="0"/>
        <v>481922</v>
      </c>
      <c r="AF41" s="8"/>
      <c r="AG41" s="55"/>
      <c r="AH41" s="55"/>
      <c r="AI41" s="55"/>
      <c r="AJ41" s="55"/>
      <c r="AK41" s="55"/>
      <c r="AL41" s="8">
        <f>+'Gov Rev'!AI41-'Gov Exp'!AE41+'Gov Exp'!AI41-'Gov Exp'!AK41</f>
        <v>76730</v>
      </c>
      <c r="AM41" s="6" t="str">
        <f>'Gov Rev'!A41</f>
        <v>Baltic</v>
      </c>
      <c r="AN41" s="6" t="str">
        <f t="shared" si="1"/>
        <v>Baltic</v>
      </c>
      <c r="AO41" s="6" t="b">
        <f t="shared" si="2"/>
        <v>1</v>
      </c>
    </row>
    <row r="42" spans="1:41" ht="12" customHeight="1" x14ac:dyDescent="0.2">
      <c r="A42" s="6" t="s">
        <v>326</v>
      </c>
      <c r="C42" s="6" t="s">
        <v>327</v>
      </c>
      <c r="E42" s="8">
        <v>289363</v>
      </c>
      <c r="G42" s="8">
        <v>19461</v>
      </c>
      <c r="I42" s="8">
        <v>27433</v>
      </c>
      <c r="K42" s="8">
        <v>35863</v>
      </c>
      <c r="M42" s="8">
        <v>5945</v>
      </c>
      <c r="O42" s="8">
        <v>365253</v>
      </c>
      <c r="Q42" s="8">
        <v>216386</v>
      </c>
      <c r="S42" s="8">
        <v>225707</v>
      </c>
      <c r="U42" s="8">
        <v>18548</v>
      </c>
      <c r="W42" s="8">
        <v>1714</v>
      </c>
      <c r="Y42" s="8">
        <v>0</v>
      </c>
      <c r="AA42" s="8">
        <v>0</v>
      </c>
      <c r="AC42" s="8">
        <v>0</v>
      </c>
      <c r="AE42" s="8">
        <f t="shared" si="0"/>
        <v>1205673</v>
      </c>
      <c r="AF42" s="8"/>
      <c r="AG42" s="55"/>
      <c r="AH42" s="55"/>
      <c r="AI42" s="55"/>
      <c r="AJ42" s="55"/>
      <c r="AK42" s="55"/>
      <c r="AL42" s="8">
        <f>+'Gov Rev'!AI42-'Gov Exp'!AE42+'Gov Exp'!AI42-'Gov Exp'!AK42</f>
        <v>27776</v>
      </c>
      <c r="AM42" s="6" t="str">
        <f>'Gov Rev'!A42</f>
        <v>Baltimore</v>
      </c>
      <c r="AN42" s="6" t="str">
        <f t="shared" si="1"/>
        <v>Baltimore</v>
      </c>
      <c r="AO42" s="6" t="b">
        <f t="shared" si="2"/>
        <v>1</v>
      </c>
    </row>
    <row r="43" spans="1:41" ht="12" customHeight="1" x14ac:dyDescent="0.2">
      <c r="A43" s="6" t="s">
        <v>260</v>
      </c>
      <c r="C43" s="6" t="s">
        <v>261</v>
      </c>
      <c r="E43" s="8">
        <v>966779</v>
      </c>
      <c r="G43" s="8">
        <v>83010</v>
      </c>
      <c r="I43" s="8">
        <v>202646</v>
      </c>
      <c r="K43" s="8">
        <v>0</v>
      </c>
      <c r="M43" s="8">
        <v>0</v>
      </c>
      <c r="O43" s="8">
        <v>396682</v>
      </c>
      <c r="Q43" s="8">
        <v>231360</v>
      </c>
      <c r="S43" s="8">
        <v>421779</v>
      </c>
      <c r="U43" s="8">
        <v>316687</v>
      </c>
      <c r="W43" s="8">
        <v>53012</v>
      </c>
      <c r="Y43" s="8">
        <v>700549</v>
      </c>
      <c r="AA43" s="8">
        <v>0</v>
      </c>
      <c r="AC43" s="8">
        <v>1642743</v>
      </c>
      <c r="AE43" s="8">
        <f t="shared" si="0"/>
        <v>5015247</v>
      </c>
      <c r="AF43" s="8"/>
      <c r="AG43" s="55"/>
      <c r="AH43" s="55"/>
      <c r="AI43" s="55"/>
      <c r="AJ43" s="55"/>
      <c r="AK43" s="55"/>
      <c r="AL43" s="8">
        <f>+'Gov Rev'!AI43-'Gov Exp'!AE43+'Gov Exp'!AI43-'Gov Exp'!AK43</f>
        <v>-468173</v>
      </c>
      <c r="AM43" s="6" t="str">
        <f>'Gov Rev'!A43</f>
        <v>Barnesville</v>
      </c>
      <c r="AN43" s="6" t="str">
        <f t="shared" si="1"/>
        <v>Barnesville</v>
      </c>
      <c r="AO43" s="6" t="b">
        <f t="shared" si="2"/>
        <v>1</v>
      </c>
    </row>
    <row r="44" spans="1:41" s="14" customFormat="1" ht="12" customHeight="1" x14ac:dyDescent="0.2">
      <c r="A44" s="6" t="s">
        <v>522</v>
      </c>
      <c r="B44" s="6"/>
      <c r="C44" s="6" t="s">
        <v>521</v>
      </c>
      <c r="D44" s="6"/>
      <c r="E44" s="8">
        <v>0</v>
      </c>
      <c r="F44" s="8"/>
      <c r="G44" s="8">
        <v>0</v>
      </c>
      <c r="H44" s="8"/>
      <c r="I44" s="8">
        <v>57.45</v>
      </c>
      <c r="J44" s="8"/>
      <c r="K44" s="8">
        <v>0</v>
      </c>
      <c r="L44" s="8"/>
      <c r="M44" s="8">
        <v>0</v>
      </c>
      <c r="N44" s="8"/>
      <c r="O44" s="8">
        <v>14552.22</v>
      </c>
      <c r="P44" s="8"/>
      <c r="Q44" s="8">
        <v>18933.09</v>
      </c>
      <c r="R44" s="8"/>
      <c r="S44" s="8">
        <v>0</v>
      </c>
      <c r="T44" s="8"/>
      <c r="U44" s="8">
        <v>0</v>
      </c>
      <c r="V44" s="8"/>
      <c r="W44" s="8">
        <v>0</v>
      </c>
      <c r="X44" s="8"/>
      <c r="Y44" s="8">
        <v>0</v>
      </c>
      <c r="Z44" s="8"/>
      <c r="AA44" s="8">
        <v>0</v>
      </c>
      <c r="AB44" s="8"/>
      <c r="AC44" s="8">
        <v>0</v>
      </c>
      <c r="AD44" s="8"/>
      <c r="AE44" s="8">
        <f t="shared" si="0"/>
        <v>33542.76</v>
      </c>
      <c r="AF44" s="8"/>
      <c r="AG44" s="55">
        <v>9414.19</v>
      </c>
      <c r="AH44" s="55"/>
      <c r="AI44" s="55">
        <v>72827.72</v>
      </c>
      <c r="AJ44" s="55"/>
      <c r="AK44" s="55">
        <v>82241.91</v>
      </c>
      <c r="AL44" s="8">
        <f>+'Gov Rev'!AI44-'Gov Exp'!AE44+'Gov Exp'!AI44-'Gov Exp'!AK44</f>
        <v>0</v>
      </c>
      <c r="AM44" s="6" t="str">
        <f>'Gov Rev'!A44</f>
        <v>Barnhill</v>
      </c>
      <c r="AN44" s="6" t="str">
        <f t="shared" si="1"/>
        <v>Barnhill</v>
      </c>
      <c r="AO44" s="6" t="b">
        <f t="shared" si="2"/>
        <v>1</v>
      </c>
    </row>
    <row r="45" spans="1:41" ht="12" customHeight="1" x14ac:dyDescent="0.2">
      <c r="A45" s="6" t="s">
        <v>276</v>
      </c>
      <c r="C45" s="6" t="s">
        <v>277</v>
      </c>
      <c r="E45" s="8">
        <v>400378.99</v>
      </c>
      <c r="G45" s="8">
        <v>6966.29</v>
      </c>
      <c r="I45" s="8">
        <v>0</v>
      </c>
      <c r="K45" s="8">
        <v>1357.61</v>
      </c>
      <c r="M45" s="8">
        <v>0</v>
      </c>
      <c r="O45" s="8">
        <v>339416.38</v>
      </c>
      <c r="Q45" s="8">
        <v>249213.13</v>
      </c>
      <c r="S45" s="8">
        <v>1671824.73</v>
      </c>
      <c r="U45" s="8">
        <v>15000</v>
      </c>
      <c r="W45" s="8">
        <v>58234.76</v>
      </c>
      <c r="Y45" s="8">
        <v>651601.96</v>
      </c>
      <c r="AA45" s="8">
        <v>0</v>
      </c>
      <c r="AC45" s="8">
        <v>0</v>
      </c>
      <c r="AE45" s="8">
        <f t="shared" si="0"/>
        <v>3393993.8499999996</v>
      </c>
      <c r="AF45" s="8"/>
      <c r="AG45" s="55">
        <v>2167393.5299999998</v>
      </c>
      <c r="AH45" s="55"/>
      <c r="AI45" s="55">
        <v>910795.87</v>
      </c>
      <c r="AJ45" s="55"/>
      <c r="AK45" s="55">
        <v>3078189.4</v>
      </c>
      <c r="AL45" s="8">
        <f>+'Gov Rev'!AI45-'Gov Exp'!AE45+'Gov Exp'!AI45-'Gov Exp'!AK45</f>
        <v>0</v>
      </c>
      <c r="AM45" s="6" t="str">
        <f>'Gov Rev'!A45</f>
        <v>Batavia</v>
      </c>
      <c r="AN45" s="6" t="str">
        <f t="shared" si="1"/>
        <v>Batavia</v>
      </c>
      <c r="AO45" s="6" t="b">
        <f t="shared" si="2"/>
        <v>1</v>
      </c>
    </row>
    <row r="46" spans="1:41" ht="12" customHeight="1" x14ac:dyDescent="0.2">
      <c r="A46" s="6" t="s">
        <v>454</v>
      </c>
      <c r="C46" s="6" t="s">
        <v>455</v>
      </c>
      <c r="E46" s="8">
        <v>400</v>
      </c>
      <c r="G46" s="8">
        <v>0</v>
      </c>
      <c r="I46" s="8">
        <v>651</v>
      </c>
      <c r="K46" s="8">
        <v>0</v>
      </c>
      <c r="M46" s="8">
        <v>0</v>
      </c>
      <c r="O46" s="8">
        <v>0</v>
      </c>
      <c r="Q46" s="8">
        <v>6895</v>
      </c>
      <c r="S46" s="8">
        <v>0</v>
      </c>
      <c r="U46" s="8">
        <v>12636</v>
      </c>
      <c r="W46" s="8">
        <v>0</v>
      </c>
      <c r="Y46" s="8">
        <v>0</v>
      </c>
      <c r="AA46" s="8">
        <v>0</v>
      </c>
      <c r="AC46" s="8">
        <v>0</v>
      </c>
      <c r="AE46" s="8">
        <f t="shared" si="0"/>
        <v>20582</v>
      </c>
      <c r="AF46" s="8"/>
      <c r="AG46" s="55"/>
      <c r="AH46" s="55"/>
      <c r="AI46" s="55"/>
      <c r="AJ46" s="55"/>
      <c r="AK46" s="55"/>
      <c r="AL46" s="8">
        <f>+'Gov Rev'!AI46-'Gov Exp'!AE46+'Gov Exp'!AI46-'Gov Exp'!AK46</f>
        <v>3618</v>
      </c>
      <c r="AM46" s="6" t="str">
        <f>'Gov Rev'!A46</f>
        <v>Batesville</v>
      </c>
      <c r="AN46" s="6" t="str">
        <f t="shared" si="1"/>
        <v>Batesville</v>
      </c>
      <c r="AO46" s="6" t="b">
        <f t="shared" si="2"/>
        <v>1</v>
      </c>
    </row>
    <row r="47" spans="1:41" s="14" customFormat="1" ht="12" customHeight="1" x14ac:dyDescent="0.2">
      <c r="A47" s="6" t="s">
        <v>53</v>
      </c>
      <c r="B47" s="6"/>
      <c r="C47" s="6" t="s">
        <v>325</v>
      </c>
      <c r="D47" s="6"/>
      <c r="E47" s="8">
        <v>104286.6</v>
      </c>
      <c r="F47" s="8"/>
      <c r="G47" s="8">
        <v>0</v>
      </c>
      <c r="H47" s="8"/>
      <c r="I47" s="8">
        <v>9084.56</v>
      </c>
      <c r="J47" s="8"/>
      <c r="K47" s="8">
        <v>0</v>
      </c>
      <c r="L47" s="8"/>
      <c r="M47" s="8">
        <v>700</v>
      </c>
      <c r="N47" s="8"/>
      <c r="O47" s="8">
        <v>51289.24</v>
      </c>
      <c r="P47" s="8"/>
      <c r="Q47" s="8">
        <v>96996.22</v>
      </c>
      <c r="R47" s="8"/>
      <c r="S47" s="8">
        <v>2828</v>
      </c>
      <c r="T47" s="8"/>
      <c r="U47" s="8">
        <v>9100</v>
      </c>
      <c r="V47" s="8"/>
      <c r="W47" s="8">
        <v>2120</v>
      </c>
      <c r="X47" s="8"/>
      <c r="Y47" s="8">
        <v>0</v>
      </c>
      <c r="Z47" s="8"/>
      <c r="AA47" s="8">
        <v>0</v>
      </c>
      <c r="AB47" s="8"/>
      <c r="AC47" s="8">
        <v>0</v>
      </c>
      <c r="AD47" s="8"/>
      <c r="AE47" s="8">
        <f t="shared" si="0"/>
        <v>276404.62</v>
      </c>
      <c r="AF47" s="8"/>
      <c r="AG47" s="55">
        <v>24071.64</v>
      </c>
      <c r="AH47" s="55"/>
      <c r="AI47" s="55">
        <v>82581.539999999994</v>
      </c>
      <c r="AJ47" s="55"/>
      <c r="AK47" s="55">
        <v>106653.18</v>
      </c>
      <c r="AL47" s="8">
        <f>+'Gov Rev'!AI47-'Gov Exp'!AE47+'Gov Exp'!AI47-'Gov Exp'!AK47</f>
        <v>0</v>
      </c>
      <c r="AM47" s="6" t="str">
        <f>'Gov Rev'!A47</f>
        <v>Bay View</v>
      </c>
      <c r="AN47" s="6" t="str">
        <f t="shared" si="1"/>
        <v>Bay View</v>
      </c>
      <c r="AO47" s="6" t="b">
        <f t="shared" si="2"/>
        <v>1</v>
      </c>
    </row>
    <row r="48" spans="1:41" ht="12" customHeight="1" x14ac:dyDescent="0.2">
      <c r="A48" s="6" t="s">
        <v>501</v>
      </c>
      <c r="C48" s="6" t="s">
        <v>502</v>
      </c>
      <c r="E48" s="8">
        <v>175712</v>
      </c>
      <c r="G48" s="8">
        <v>364</v>
      </c>
      <c r="I48" s="8">
        <v>8144</v>
      </c>
      <c r="K48" s="8">
        <v>103</v>
      </c>
      <c r="M48" s="8">
        <v>0</v>
      </c>
      <c r="O48" s="8">
        <v>82904</v>
      </c>
      <c r="Q48" s="8">
        <v>61188</v>
      </c>
      <c r="S48" s="8">
        <v>37000</v>
      </c>
      <c r="U48" s="8">
        <v>30362</v>
      </c>
      <c r="W48" s="8">
        <v>4490</v>
      </c>
      <c r="Y48" s="8">
        <v>0</v>
      </c>
      <c r="AA48" s="8">
        <v>0</v>
      </c>
      <c r="AC48" s="8">
        <v>4493</v>
      </c>
      <c r="AE48" s="8">
        <f t="shared" si="0"/>
        <v>404760</v>
      </c>
      <c r="AF48" s="8"/>
      <c r="AG48" s="55"/>
      <c r="AH48" s="55"/>
      <c r="AI48" s="55"/>
      <c r="AJ48" s="55"/>
      <c r="AK48" s="55"/>
      <c r="AL48" s="8">
        <f>+'Gov Rev'!AI48-'Gov Exp'!AE48+'Gov Exp'!AI48-'Gov Exp'!AK48</f>
        <v>22170</v>
      </c>
      <c r="AM48" s="6" t="str">
        <f>'Gov Rev'!A48</f>
        <v>Beach</v>
      </c>
      <c r="AN48" s="6" t="str">
        <f t="shared" si="1"/>
        <v>Beach</v>
      </c>
      <c r="AO48" s="6" t="b">
        <f t="shared" si="2"/>
        <v>1</v>
      </c>
    </row>
    <row r="49" spans="1:41" ht="12" customHeight="1" x14ac:dyDescent="0.2">
      <c r="A49" s="6" t="s">
        <v>151</v>
      </c>
      <c r="C49" s="6" t="s">
        <v>441</v>
      </c>
      <c r="E49" s="8">
        <v>4663.08</v>
      </c>
      <c r="G49" s="8">
        <v>3102.67</v>
      </c>
      <c r="I49" s="8">
        <v>0</v>
      </c>
      <c r="K49" s="8">
        <v>0</v>
      </c>
      <c r="M49" s="8">
        <v>100</v>
      </c>
      <c r="O49" s="8">
        <v>9736.56</v>
      </c>
      <c r="Q49" s="8">
        <v>25983.82</v>
      </c>
      <c r="S49" s="8">
        <v>0</v>
      </c>
      <c r="U49" s="8">
        <v>0</v>
      </c>
      <c r="W49" s="8">
        <v>8500</v>
      </c>
      <c r="Y49" s="8">
        <v>0</v>
      </c>
      <c r="AA49" s="8">
        <v>0</v>
      </c>
      <c r="AC49" s="8">
        <v>0</v>
      </c>
      <c r="AE49" s="8">
        <f t="shared" si="0"/>
        <v>52086.13</v>
      </c>
      <c r="AF49" s="8"/>
      <c r="AG49" s="55">
        <v>-5695.17</v>
      </c>
      <c r="AH49" s="55"/>
      <c r="AI49" s="55">
        <v>60880.37</v>
      </c>
      <c r="AJ49" s="55"/>
      <c r="AK49" s="55">
        <v>55185.2</v>
      </c>
      <c r="AL49" s="8">
        <f>+'Gov Rev'!AI49-'Gov Exp'!AE49+'Gov Exp'!AI49-'Gov Exp'!AK49</f>
        <v>0</v>
      </c>
      <c r="AM49" s="6" t="str">
        <f>'Gov Rev'!A49</f>
        <v>Beallsville</v>
      </c>
      <c r="AN49" s="6" t="str">
        <f t="shared" si="1"/>
        <v>Beallsville</v>
      </c>
      <c r="AO49" s="6" t="b">
        <f t="shared" si="2"/>
        <v>1</v>
      </c>
    </row>
    <row r="50" spans="1:41" ht="12" customHeight="1" x14ac:dyDescent="0.2">
      <c r="A50" s="6" t="s">
        <v>178</v>
      </c>
      <c r="C50" s="6" t="s">
        <v>469</v>
      </c>
      <c r="E50" s="8">
        <v>33045.21</v>
      </c>
      <c r="G50" s="8">
        <v>7122.54</v>
      </c>
      <c r="I50" s="8">
        <v>3434.77</v>
      </c>
      <c r="K50" s="8">
        <v>0</v>
      </c>
      <c r="M50" s="8">
        <v>0</v>
      </c>
      <c r="O50" s="8">
        <v>6537.55</v>
      </c>
      <c r="Q50" s="8">
        <v>60585.08</v>
      </c>
      <c r="S50" s="8">
        <v>10000</v>
      </c>
      <c r="U50" s="8">
        <v>0</v>
      </c>
      <c r="W50" s="8">
        <v>0</v>
      </c>
      <c r="Y50" s="8">
        <v>2900</v>
      </c>
      <c r="AA50" s="8">
        <v>0</v>
      </c>
      <c r="AC50" s="8">
        <v>0</v>
      </c>
      <c r="AE50" s="8">
        <f t="shared" si="0"/>
        <v>123625.15</v>
      </c>
      <c r="AF50" s="8"/>
      <c r="AG50" s="55">
        <v>11378.75</v>
      </c>
      <c r="AH50" s="55"/>
      <c r="AI50" s="55">
        <v>139898.94</v>
      </c>
      <c r="AJ50" s="55"/>
      <c r="AK50" s="55">
        <v>151277.69</v>
      </c>
      <c r="AL50" s="8">
        <f>+'Gov Rev'!AI50-'Gov Exp'!AE50+'Gov Exp'!AI50-'Gov Exp'!AK50</f>
        <v>0</v>
      </c>
      <c r="AM50" s="6" t="str">
        <f>'Gov Rev'!A50</f>
        <v>Beaver</v>
      </c>
      <c r="AN50" s="6" t="str">
        <f t="shared" si="1"/>
        <v>Beaver</v>
      </c>
      <c r="AO50" s="6" t="b">
        <f t="shared" si="2"/>
        <v>1</v>
      </c>
    </row>
    <row r="51" spans="1:41" s="14" customFormat="1" ht="12" customHeight="1" x14ac:dyDescent="0.2">
      <c r="A51" s="6" t="s">
        <v>2</v>
      </c>
      <c r="B51" s="6"/>
      <c r="C51" s="6" t="s">
        <v>651</v>
      </c>
      <c r="D51" s="6"/>
      <c r="E51" s="8">
        <v>5989.25</v>
      </c>
      <c r="F51" s="8"/>
      <c r="G51" s="8">
        <v>0</v>
      </c>
      <c r="H51" s="8"/>
      <c r="I51" s="8">
        <v>2353.46</v>
      </c>
      <c r="J51" s="8"/>
      <c r="K51" s="8">
        <v>0</v>
      </c>
      <c r="L51" s="8"/>
      <c r="M51" s="8">
        <v>0</v>
      </c>
      <c r="N51" s="8"/>
      <c r="O51" s="8">
        <v>31936.81</v>
      </c>
      <c r="P51" s="8"/>
      <c r="Q51" s="8">
        <v>63298.58</v>
      </c>
      <c r="R51" s="8"/>
      <c r="S51" s="8">
        <v>281559.8</v>
      </c>
      <c r="T51" s="8"/>
      <c r="U51" s="8">
        <v>0</v>
      </c>
      <c r="V51" s="8"/>
      <c r="W51" s="8">
        <v>0</v>
      </c>
      <c r="X51" s="8"/>
      <c r="Y51" s="8">
        <v>5000</v>
      </c>
      <c r="Z51" s="8"/>
      <c r="AA51" s="8">
        <v>0</v>
      </c>
      <c r="AB51" s="8"/>
      <c r="AC51" s="8">
        <v>100</v>
      </c>
      <c r="AD51" s="8"/>
      <c r="AE51" s="8">
        <f t="shared" si="0"/>
        <v>390237.9</v>
      </c>
      <c r="AF51" s="8"/>
      <c r="AG51" s="55">
        <v>31792.19</v>
      </c>
      <c r="AH51" s="55"/>
      <c r="AI51" s="55">
        <v>360913.86</v>
      </c>
      <c r="AJ51" s="55"/>
      <c r="AK51" s="55">
        <v>392706.05</v>
      </c>
      <c r="AL51" s="8">
        <f>+'Gov Rev'!AI51-'Gov Exp'!AE51+'Gov Exp'!AI51-'Gov Exp'!AK51</f>
        <v>0</v>
      </c>
      <c r="AM51" s="6" t="str">
        <f>'Gov Rev'!A51</f>
        <v>Beaverdam</v>
      </c>
      <c r="AN51" s="6" t="str">
        <f t="shared" si="1"/>
        <v>Beaverdam</v>
      </c>
      <c r="AO51" s="6" t="b">
        <f t="shared" si="2"/>
        <v>1</v>
      </c>
    </row>
    <row r="52" spans="1:41" ht="12" customHeight="1" x14ac:dyDescent="0.2">
      <c r="A52" s="6" t="s">
        <v>262</v>
      </c>
      <c r="C52" s="6" t="s">
        <v>261</v>
      </c>
      <c r="E52" s="8">
        <v>806262</v>
      </c>
      <c r="G52" s="8">
        <v>0</v>
      </c>
      <c r="I52" s="8">
        <v>0</v>
      </c>
      <c r="K52" s="8">
        <v>3459</v>
      </c>
      <c r="M52" s="8">
        <v>0</v>
      </c>
      <c r="O52" s="8">
        <v>176690</v>
      </c>
      <c r="Q52" s="8">
        <v>550013</v>
      </c>
      <c r="S52" s="8">
        <v>0</v>
      </c>
      <c r="U52" s="8">
        <v>57313</v>
      </c>
      <c r="W52" s="8">
        <v>26847</v>
      </c>
      <c r="Y52" s="8">
        <v>0</v>
      </c>
      <c r="AA52" s="8">
        <v>0</v>
      </c>
      <c r="AC52" s="8">
        <v>0</v>
      </c>
      <c r="AE52" s="8">
        <f t="shared" si="0"/>
        <v>1620584</v>
      </c>
      <c r="AF52" s="8"/>
      <c r="AG52" s="55"/>
      <c r="AH52" s="55"/>
      <c r="AI52" s="55"/>
      <c r="AJ52" s="55"/>
      <c r="AK52" s="55"/>
      <c r="AL52" s="8">
        <f>+'Gov Rev'!AI52-'Gov Exp'!AE52+'Gov Exp'!AI52-'Gov Exp'!AK52</f>
        <v>-8160</v>
      </c>
      <c r="AM52" s="6" t="str">
        <f>'Gov Rev'!A52</f>
        <v>Bellaire</v>
      </c>
      <c r="AN52" s="6" t="str">
        <f t="shared" si="1"/>
        <v>Bellaire</v>
      </c>
      <c r="AO52" s="6" t="b">
        <f t="shared" si="2"/>
        <v>1</v>
      </c>
    </row>
    <row r="53" spans="1:41" s="8" customFormat="1" ht="12" customHeight="1" x14ac:dyDescent="0.2">
      <c r="A53" s="6" t="s">
        <v>123</v>
      </c>
      <c r="B53" s="6"/>
      <c r="C53" s="6" t="s">
        <v>414</v>
      </c>
      <c r="D53" s="6"/>
      <c r="E53" s="8">
        <v>17511.84</v>
      </c>
      <c r="G53" s="8">
        <v>4875.17</v>
      </c>
      <c r="I53" s="8">
        <v>1803.12</v>
      </c>
      <c r="K53" s="8">
        <v>40</v>
      </c>
      <c r="M53" s="8">
        <v>2100</v>
      </c>
      <c r="O53" s="8">
        <v>41361.449999999997</v>
      </c>
      <c r="Q53" s="8">
        <v>76489.919999999998</v>
      </c>
      <c r="S53" s="8">
        <v>33451.08</v>
      </c>
      <c r="U53" s="8">
        <v>2400</v>
      </c>
      <c r="W53" s="8">
        <v>325.56</v>
      </c>
      <c r="Y53" s="8">
        <v>11273.92</v>
      </c>
      <c r="AA53" s="8">
        <v>0</v>
      </c>
      <c r="AC53" s="8">
        <v>0</v>
      </c>
      <c r="AE53" s="8">
        <f t="shared" si="0"/>
        <v>191632.06000000003</v>
      </c>
      <c r="AG53" s="55">
        <v>59376.74</v>
      </c>
      <c r="AH53" s="55"/>
      <c r="AI53" s="55">
        <v>171092.27</v>
      </c>
      <c r="AJ53" s="55"/>
      <c r="AK53" s="55">
        <v>230469.01</v>
      </c>
      <c r="AL53" s="8">
        <f>+'Gov Rev'!AI53-'Gov Exp'!AE53+'Gov Exp'!AI53-'Gov Exp'!AK53</f>
        <v>0</v>
      </c>
      <c r="AM53" s="6" t="str">
        <f>'Gov Rev'!A53</f>
        <v>Belle Center</v>
      </c>
      <c r="AN53" s="6" t="str">
        <f t="shared" si="1"/>
        <v>Belle Center</v>
      </c>
      <c r="AO53" s="6" t="b">
        <f t="shared" si="2"/>
        <v>1</v>
      </c>
    </row>
    <row r="54" spans="1:41" ht="12" customHeight="1" x14ac:dyDescent="0.2">
      <c r="A54" s="6" t="s">
        <v>456</v>
      </c>
      <c r="C54" s="6" t="s">
        <v>455</v>
      </c>
      <c r="E54" s="8">
        <v>0</v>
      </c>
      <c r="G54" s="8">
        <v>0</v>
      </c>
      <c r="I54" s="8">
        <v>0</v>
      </c>
      <c r="K54" s="8">
        <v>334.5</v>
      </c>
      <c r="M54" s="8">
        <v>8866.66</v>
      </c>
      <c r="O54" s="8">
        <v>16159.86</v>
      </c>
      <c r="Q54" s="8">
        <v>11044.47</v>
      </c>
      <c r="S54" s="8">
        <v>0</v>
      </c>
      <c r="U54" s="8">
        <v>0</v>
      </c>
      <c r="W54" s="8">
        <v>0</v>
      </c>
      <c r="Y54" s="8">
        <v>0</v>
      </c>
      <c r="AA54" s="8">
        <v>0</v>
      </c>
      <c r="AC54" s="8">
        <v>0</v>
      </c>
      <c r="AE54" s="8">
        <f t="shared" si="0"/>
        <v>36405.49</v>
      </c>
      <c r="AF54" s="8"/>
      <c r="AG54" s="55">
        <v>-1094.21</v>
      </c>
      <c r="AH54" s="55"/>
      <c r="AI54" s="55">
        <v>19345.97</v>
      </c>
      <c r="AJ54" s="55"/>
      <c r="AK54" s="55">
        <v>18251.759999999998</v>
      </c>
      <c r="AL54" s="8">
        <f>+'Gov Rev'!AI54-'Gov Exp'!AE54+'Gov Exp'!AI54-'Gov Exp'!AK54</f>
        <v>0</v>
      </c>
      <c r="AM54" s="6" t="str">
        <f>'Gov Rev'!A54</f>
        <v>Belle Valley</v>
      </c>
      <c r="AN54" s="6" t="str">
        <f t="shared" si="1"/>
        <v>Belle Valley</v>
      </c>
      <c r="AO54" s="6" t="b">
        <f t="shared" si="2"/>
        <v>1</v>
      </c>
    </row>
    <row r="55" spans="1:41" s="8" customFormat="1" ht="12" customHeight="1" x14ac:dyDescent="0.2">
      <c r="A55" s="6" t="s">
        <v>193</v>
      </c>
      <c r="B55" s="6"/>
      <c r="C55" s="6" t="s">
        <v>481</v>
      </c>
      <c r="D55" s="6"/>
      <c r="E55" s="8">
        <v>465375.28</v>
      </c>
      <c r="G55" s="8">
        <v>125038.65</v>
      </c>
      <c r="I55" s="8">
        <v>52161.35</v>
      </c>
      <c r="K55" s="8">
        <v>5515.87</v>
      </c>
      <c r="M55" s="8">
        <v>0</v>
      </c>
      <c r="O55" s="8">
        <v>327089.39</v>
      </c>
      <c r="Q55" s="8">
        <v>277238.61</v>
      </c>
      <c r="S55" s="8">
        <v>390048.08</v>
      </c>
      <c r="U55" s="8">
        <v>102572.3</v>
      </c>
      <c r="W55" s="8">
        <v>23114.99</v>
      </c>
      <c r="Y55" s="8">
        <v>505525.55</v>
      </c>
      <c r="AA55" s="8">
        <v>0</v>
      </c>
      <c r="AC55" s="8">
        <v>0</v>
      </c>
      <c r="AE55" s="8">
        <f t="shared" si="0"/>
        <v>2273680.0699999998</v>
      </c>
      <c r="AG55" s="55">
        <v>-16929.36</v>
      </c>
      <c r="AH55" s="55"/>
      <c r="AI55" s="55">
        <v>593480.42000000004</v>
      </c>
      <c r="AJ55" s="55"/>
      <c r="AK55" s="55">
        <v>576551.06000000006</v>
      </c>
      <c r="AL55" s="8">
        <f>+'Gov Rev'!AI55-'Gov Exp'!AE55+'Gov Exp'!AI55-'Gov Exp'!AK55</f>
        <v>0</v>
      </c>
      <c r="AM55" s="6" t="str">
        <f>'Gov Rev'!A55</f>
        <v>Bellville</v>
      </c>
      <c r="AN55" s="6" t="str">
        <f t="shared" si="1"/>
        <v>Bellville</v>
      </c>
      <c r="AO55" s="6" t="b">
        <f t="shared" si="2"/>
        <v>1</v>
      </c>
    </row>
    <row r="56" spans="1:41" s="14" customFormat="1" ht="12" customHeight="1" x14ac:dyDescent="0.2">
      <c r="A56" s="6" t="s">
        <v>261</v>
      </c>
      <c r="B56" s="6"/>
      <c r="C56" s="6" t="s">
        <v>261</v>
      </c>
      <c r="D56" s="6"/>
      <c r="E56" s="8">
        <v>98065.87</v>
      </c>
      <c r="F56" s="8"/>
      <c r="G56" s="8">
        <v>5281.48</v>
      </c>
      <c r="H56" s="8"/>
      <c r="I56" s="8">
        <v>25038.55</v>
      </c>
      <c r="J56" s="8"/>
      <c r="K56" s="8">
        <v>0</v>
      </c>
      <c r="L56" s="8"/>
      <c r="M56" s="8">
        <v>2880</v>
      </c>
      <c r="N56" s="8"/>
      <c r="O56" s="8">
        <v>42825.29</v>
      </c>
      <c r="P56" s="8"/>
      <c r="Q56" s="8">
        <v>32423.31</v>
      </c>
      <c r="R56" s="8"/>
      <c r="S56" s="8">
        <v>1561.26</v>
      </c>
      <c r="T56" s="8"/>
      <c r="U56" s="8">
        <v>0</v>
      </c>
      <c r="V56" s="8"/>
      <c r="W56" s="8">
        <v>0</v>
      </c>
      <c r="X56" s="8"/>
      <c r="Y56" s="8">
        <v>0</v>
      </c>
      <c r="Z56" s="8"/>
      <c r="AA56" s="8">
        <v>0</v>
      </c>
      <c r="AB56" s="8"/>
      <c r="AC56" s="8">
        <v>0</v>
      </c>
      <c r="AD56" s="8"/>
      <c r="AE56" s="8">
        <f t="shared" si="0"/>
        <v>208075.76</v>
      </c>
      <c r="AF56" s="8"/>
      <c r="AG56" s="55">
        <v>21219.84</v>
      </c>
      <c r="AH56" s="55"/>
      <c r="AI56" s="55">
        <v>162692.76999999999</v>
      </c>
      <c r="AJ56" s="55"/>
      <c r="AK56" s="55">
        <v>183912.61</v>
      </c>
      <c r="AL56" s="8">
        <f>+'Gov Rev'!AI56-'Gov Exp'!AE56+'Gov Exp'!AI56-'Gov Exp'!AK56</f>
        <v>0</v>
      </c>
      <c r="AM56" s="6" t="str">
        <f>'Gov Rev'!A56</f>
        <v>Belmont</v>
      </c>
      <c r="AN56" s="6" t="str">
        <f t="shared" si="1"/>
        <v>Belmont</v>
      </c>
      <c r="AO56" s="6" t="b">
        <f t="shared" si="2"/>
        <v>1</v>
      </c>
    </row>
    <row r="57" spans="1:41" ht="12" customHeight="1" x14ac:dyDescent="0.2">
      <c r="A57" s="6" t="s">
        <v>794</v>
      </c>
      <c r="C57" s="6" t="s">
        <v>476</v>
      </c>
      <c r="E57" s="8">
        <v>9294.2000000000007</v>
      </c>
      <c r="G57" s="8">
        <v>0</v>
      </c>
      <c r="I57" s="8">
        <v>3.1</v>
      </c>
      <c r="K57" s="8">
        <v>0</v>
      </c>
      <c r="M57" s="8">
        <v>0</v>
      </c>
      <c r="O57" s="8">
        <v>1522.95</v>
      </c>
      <c r="Q57" s="8">
        <v>22473.01</v>
      </c>
      <c r="S57" s="8">
        <v>15490.61</v>
      </c>
      <c r="U57" s="8">
        <v>0</v>
      </c>
      <c r="W57" s="8">
        <v>0</v>
      </c>
      <c r="Y57" s="8">
        <v>10742.22</v>
      </c>
      <c r="AA57" s="8">
        <v>0</v>
      </c>
      <c r="AC57" s="8">
        <v>0</v>
      </c>
      <c r="AE57" s="8">
        <f t="shared" si="0"/>
        <v>59526.090000000004</v>
      </c>
      <c r="AF57" s="8"/>
      <c r="AG57" s="55">
        <v>-21821.27</v>
      </c>
      <c r="AH57" s="55"/>
      <c r="AI57" s="55">
        <v>82941.460000000006</v>
      </c>
      <c r="AJ57" s="55"/>
      <c r="AK57" s="55">
        <v>61120.19</v>
      </c>
      <c r="AL57" s="8">
        <f>+'Gov Rev'!AI57-'Gov Exp'!AE57+'Gov Exp'!AI57-'Gov Exp'!AK57</f>
        <v>0</v>
      </c>
      <c r="AM57" s="6" t="str">
        <f>'Gov Rev'!A57</f>
        <v>Belmore</v>
      </c>
      <c r="AN57" s="6" t="str">
        <f t="shared" si="1"/>
        <v>Belmore</v>
      </c>
      <c r="AO57" s="6" t="b">
        <f t="shared" si="2"/>
        <v>1</v>
      </c>
    </row>
    <row r="58" spans="1:41" ht="12" customHeight="1" x14ac:dyDescent="0.2">
      <c r="A58" s="6" t="s">
        <v>134</v>
      </c>
      <c r="C58" s="6" t="s">
        <v>429</v>
      </c>
      <c r="E58" s="8">
        <v>179346.77</v>
      </c>
      <c r="G58" s="8">
        <v>345</v>
      </c>
      <c r="I58" s="8">
        <v>4256.5600000000004</v>
      </c>
      <c r="K58" s="8">
        <v>3922.5</v>
      </c>
      <c r="M58" s="8">
        <v>0</v>
      </c>
      <c r="O58" s="8">
        <v>20543.05</v>
      </c>
      <c r="Q58" s="8">
        <v>83319.240000000005</v>
      </c>
      <c r="S58" s="8">
        <v>248728.09</v>
      </c>
      <c r="U58" s="8">
        <v>11282.58</v>
      </c>
      <c r="W58" s="8">
        <v>111372.04</v>
      </c>
      <c r="Y58" s="8">
        <v>0</v>
      </c>
      <c r="AA58" s="8">
        <v>0</v>
      </c>
      <c r="AC58" s="8">
        <v>0</v>
      </c>
      <c r="AE58" s="8">
        <f t="shared" si="0"/>
        <v>663115.82999999996</v>
      </c>
      <c r="AF58" s="8"/>
      <c r="AG58" s="55">
        <v>97346.880000000005</v>
      </c>
      <c r="AH58" s="55"/>
      <c r="AI58" s="55">
        <v>625525.6</v>
      </c>
      <c r="AJ58" s="55"/>
      <c r="AK58" s="55">
        <v>722872.48</v>
      </c>
      <c r="AL58" s="8">
        <f>+'Gov Rev'!AI58-'Gov Exp'!AE58+'Gov Exp'!AI58-'Gov Exp'!AK58</f>
        <v>0</v>
      </c>
      <c r="AM58" s="6" t="str">
        <f>'Gov Rev'!A58</f>
        <v>Beloit</v>
      </c>
      <c r="AN58" s="6" t="str">
        <f t="shared" si="1"/>
        <v>Beloit</v>
      </c>
      <c r="AO58" s="6" t="b">
        <f t="shared" si="2"/>
        <v>1</v>
      </c>
    </row>
    <row r="59" spans="1:41" ht="12" customHeight="1" x14ac:dyDescent="0.2">
      <c r="A59" s="6" t="s">
        <v>292</v>
      </c>
      <c r="C59" s="6" t="s">
        <v>293</v>
      </c>
      <c r="E59" s="8">
        <v>716877</v>
      </c>
      <c r="G59" s="8">
        <v>0</v>
      </c>
      <c r="I59" s="8">
        <v>1277</v>
      </c>
      <c r="K59" s="8">
        <v>0</v>
      </c>
      <c r="M59" s="8">
        <v>55711</v>
      </c>
      <c r="O59" s="8">
        <v>240533</v>
      </c>
      <c r="Q59" s="8">
        <v>397777</v>
      </c>
      <c r="S59" s="8">
        <v>184972</v>
      </c>
      <c r="U59" s="8">
        <v>80949</v>
      </c>
      <c r="W59" s="8">
        <v>46593</v>
      </c>
      <c r="Y59" s="8">
        <v>174773</v>
      </c>
      <c r="AA59" s="8">
        <v>0</v>
      </c>
      <c r="AC59" s="8">
        <v>0</v>
      </c>
      <c r="AE59" s="8">
        <f t="shared" si="0"/>
        <v>1899462</v>
      </c>
      <c r="AF59" s="8"/>
      <c r="AG59" s="55"/>
      <c r="AH59" s="55"/>
      <c r="AI59" s="55"/>
      <c r="AJ59" s="55"/>
      <c r="AK59" s="55"/>
      <c r="AL59" s="8">
        <f>+'Gov Rev'!AI59-'Gov Exp'!AE59+'Gov Exp'!AI59-'Gov Exp'!AK59</f>
        <v>9788</v>
      </c>
      <c r="AM59" s="6" t="str">
        <f>'Gov Rev'!A59</f>
        <v>Bentleyville</v>
      </c>
      <c r="AN59" s="6" t="str">
        <f t="shared" si="1"/>
        <v>Bentleyville</v>
      </c>
      <c r="AO59" s="6" t="b">
        <f t="shared" si="2"/>
        <v>1</v>
      </c>
    </row>
    <row r="60" spans="1:41" ht="12" customHeight="1" x14ac:dyDescent="0.2">
      <c r="A60" s="6" t="s">
        <v>761</v>
      </c>
      <c r="C60" s="6" t="s">
        <v>360</v>
      </c>
      <c r="E60" s="8">
        <v>11368.26</v>
      </c>
      <c r="G60" s="8">
        <v>1142.2</v>
      </c>
      <c r="I60" s="8">
        <v>80756.78</v>
      </c>
      <c r="K60" s="8">
        <v>0</v>
      </c>
      <c r="M60" s="8">
        <v>728.42</v>
      </c>
      <c r="O60" s="8">
        <v>12911.56</v>
      </c>
      <c r="Q60" s="8">
        <v>33322.79</v>
      </c>
      <c r="S60" s="8">
        <v>1641.3</v>
      </c>
      <c r="U60" s="8">
        <v>150000</v>
      </c>
      <c r="W60" s="8">
        <v>0</v>
      </c>
      <c r="Y60" s="8">
        <v>30000</v>
      </c>
      <c r="AA60" s="8">
        <v>0</v>
      </c>
      <c r="AC60" s="8">
        <v>0</v>
      </c>
      <c r="AE60" s="8">
        <f t="shared" si="0"/>
        <v>321871.31</v>
      </c>
      <c r="AF60" s="8"/>
      <c r="AG60" s="55">
        <v>-177201.99</v>
      </c>
      <c r="AH60" s="55"/>
      <c r="AI60" s="55">
        <v>373927.54</v>
      </c>
      <c r="AJ60" s="55"/>
      <c r="AK60" s="55">
        <v>196725.55</v>
      </c>
      <c r="AL60" s="8">
        <f>+'Gov Rev'!AI60-'Gov Exp'!AE60+'Gov Exp'!AI60-'Gov Exp'!AK60</f>
        <v>0</v>
      </c>
      <c r="AM60" s="6" t="str">
        <f>'Gov Rev'!A60</f>
        <v>Benton Ridge</v>
      </c>
      <c r="AN60" s="6" t="str">
        <f t="shared" si="1"/>
        <v>Benton Ridge</v>
      </c>
      <c r="AO60" s="6" t="b">
        <f t="shared" si="2"/>
        <v>1</v>
      </c>
    </row>
    <row r="61" spans="1:41" s="14" customFormat="1" ht="12" customHeight="1" x14ac:dyDescent="0.2">
      <c r="A61" s="6" t="s">
        <v>130</v>
      </c>
      <c r="B61" s="6"/>
      <c r="C61" s="6" t="s">
        <v>423</v>
      </c>
      <c r="D61" s="6"/>
      <c r="E61" s="8">
        <v>37677.57</v>
      </c>
      <c r="F61" s="8"/>
      <c r="G61" s="8">
        <v>7126.28</v>
      </c>
      <c r="H61" s="8"/>
      <c r="I61" s="8">
        <v>15955.11</v>
      </c>
      <c r="J61" s="8"/>
      <c r="K61" s="8">
        <v>63.74</v>
      </c>
      <c r="L61" s="8"/>
      <c r="M61" s="8">
        <v>0</v>
      </c>
      <c r="N61" s="8"/>
      <c r="O61" s="8">
        <v>14251.31</v>
      </c>
      <c r="P61" s="8"/>
      <c r="Q61" s="8">
        <v>42810.55</v>
      </c>
      <c r="R61" s="8"/>
      <c r="S61" s="8">
        <v>0</v>
      </c>
      <c r="T61" s="8"/>
      <c r="U61" s="8">
        <v>0</v>
      </c>
      <c r="V61" s="8"/>
      <c r="W61" s="8">
        <v>0</v>
      </c>
      <c r="X61" s="8"/>
      <c r="Y61" s="8">
        <v>0</v>
      </c>
      <c r="Z61" s="8"/>
      <c r="AA61" s="8">
        <v>0</v>
      </c>
      <c r="AB61" s="8"/>
      <c r="AC61" s="8">
        <v>0</v>
      </c>
      <c r="AD61" s="8"/>
      <c r="AE61" s="8">
        <f t="shared" si="0"/>
        <v>117884.56</v>
      </c>
      <c r="AF61" s="8"/>
      <c r="AG61" s="55">
        <v>-2109.86</v>
      </c>
      <c r="AH61" s="55"/>
      <c r="AI61" s="55">
        <v>115568.09</v>
      </c>
      <c r="AJ61" s="55"/>
      <c r="AK61" s="55">
        <v>113458.23</v>
      </c>
      <c r="AL61" s="8">
        <f>+'Gov Rev'!AI61-'Gov Exp'!AE61+'Gov Exp'!AI61-'Gov Exp'!AK61</f>
        <v>0</v>
      </c>
      <c r="AM61" s="6" t="str">
        <f>'Gov Rev'!A61</f>
        <v>Berkey</v>
      </c>
      <c r="AN61" s="6" t="str">
        <f t="shared" si="1"/>
        <v>Berkey</v>
      </c>
      <c r="AO61" s="6" t="b">
        <f t="shared" si="2"/>
        <v>1</v>
      </c>
    </row>
    <row r="62" spans="1:41" ht="12" customHeight="1" x14ac:dyDescent="0.2">
      <c r="A62" s="6" t="s">
        <v>54</v>
      </c>
      <c r="C62" s="6" t="s">
        <v>325</v>
      </c>
      <c r="E62" s="8">
        <v>125282.34</v>
      </c>
      <c r="G62" s="8">
        <v>10125</v>
      </c>
      <c r="I62" s="8">
        <v>4297.29</v>
      </c>
      <c r="K62" s="8">
        <v>773.5</v>
      </c>
      <c r="M62" s="8">
        <v>819.76</v>
      </c>
      <c r="O62" s="8">
        <v>51250.39</v>
      </c>
      <c r="Q62" s="8">
        <v>62398.25</v>
      </c>
      <c r="S62" s="8">
        <v>0</v>
      </c>
      <c r="U62" s="8">
        <v>0</v>
      </c>
      <c r="W62" s="8">
        <v>0</v>
      </c>
      <c r="Y62" s="8">
        <v>0</v>
      </c>
      <c r="AA62" s="8">
        <v>0</v>
      </c>
      <c r="AC62" s="8">
        <v>0</v>
      </c>
      <c r="AE62" s="8">
        <f t="shared" si="0"/>
        <v>254946.53000000003</v>
      </c>
      <c r="AF62" s="8"/>
      <c r="AG62" s="55">
        <v>-49394.34</v>
      </c>
      <c r="AH62" s="55"/>
      <c r="AI62" s="55">
        <v>232982.25</v>
      </c>
      <c r="AJ62" s="55"/>
      <c r="AK62" s="55">
        <v>183587.91</v>
      </c>
      <c r="AL62" s="8">
        <f>+'Gov Rev'!AI62-'Gov Exp'!AE62+'Gov Exp'!AI62-'Gov Exp'!AK62</f>
        <v>0</v>
      </c>
      <c r="AM62" s="6" t="str">
        <f>'Gov Rev'!A62</f>
        <v>Berlin Heights</v>
      </c>
      <c r="AN62" s="6" t="str">
        <f t="shared" si="1"/>
        <v>Berlin Heights</v>
      </c>
      <c r="AO62" s="6" t="b">
        <f t="shared" si="2"/>
        <v>1</v>
      </c>
    </row>
    <row r="63" spans="1:41" s="14" customFormat="1" ht="12" customHeight="1" x14ac:dyDescent="0.2">
      <c r="A63" s="6" t="s">
        <v>278</v>
      </c>
      <c r="B63" s="6"/>
      <c r="C63" s="6" t="s">
        <v>277</v>
      </c>
      <c r="D63" s="6"/>
      <c r="E63" s="8">
        <v>378078.82</v>
      </c>
      <c r="F63" s="8"/>
      <c r="G63" s="8">
        <v>7005.65</v>
      </c>
      <c r="H63" s="8"/>
      <c r="I63" s="8">
        <v>17376.650000000001</v>
      </c>
      <c r="J63" s="8"/>
      <c r="K63" s="8">
        <v>8601.4500000000007</v>
      </c>
      <c r="L63" s="8"/>
      <c r="M63" s="8">
        <v>0</v>
      </c>
      <c r="N63" s="8"/>
      <c r="O63" s="8">
        <v>90013.51</v>
      </c>
      <c r="P63" s="8"/>
      <c r="Q63" s="8">
        <v>117777.25</v>
      </c>
      <c r="R63" s="8"/>
      <c r="S63" s="8">
        <v>40965.949999999997</v>
      </c>
      <c r="T63" s="8"/>
      <c r="U63" s="8">
        <v>5880.02</v>
      </c>
      <c r="V63" s="8"/>
      <c r="W63" s="8">
        <v>0</v>
      </c>
      <c r="X63" s="8"/>
      <c r="Y63" s="8">
        <v>0</v>
      </c>
      <c r="Z63" s="8"/>
      <c r="AA63" s="8">
        <v>0</v>
      </c>
      <c r="AB63" s="8"/>
      <c r="AC63" s="8">
        <v>910.46</v>
      </c>
      <c r="AD63" s="8"/>
      <c r="AE63" s="8">
        <f t="shared" si="0"/>
        <v>666609.76</v>
      </c>
      <c r="AF63" s="8"/>
      <c r="AG63" s="55">
        <v>185474.67</v>
      </c>
      <c r="AH63" s="55"/>
      <c r="AI63" s="55">
        <v>438533.23</v>
      </c>
      <c r="AJ63" s="55"/>
      <c r="AK63" s="55">
        <v>624007.9</v>
      </c>
      <c r="AL63" s="8">
        <f>+'Gov Rev'!AI63-'Gov Exp'!AE63+'Gov Exp'!AI63-'Gov Exp'!AK63</f>
        <v>0</v>
      </c>
      <c r="AM63" s="6" t="str">
        <f>'Gov Rev'!A63</f>
        <v>Bethel</v>
      </c>
      <c r="AN63" s="6" t="str">
        <f t="shared" si="1"/>
        <v>Bethel</v>
      </c>
      <c r="AO63" s="6" t="b">
        <f t="shared" si="2"/>
        <v>1</v>
      </c>
    </row>
    <row r="64" spans="1:41" ht="12" customHeight="1" x14ac:dyDescent="0.2">
      <c r="A64" s="6" t="s">
        <v>15</v>
      </c>
      <c r="C64" s="6" t="s">
        <v>261</v>
      </c>
      <c r="E64" s="8">
        <v>407204.49</v>
      </c>
      <c r="G64" s="8">
        <v>68.64</v>
      </c>
      <c r="I64" s="8">
        <v>1199</v>
      </c>
      <c r="K64" s="8">
        <v>0</v>
      </c>
      <c r="M64" s="8">
        <v>3250.09</v>
      </c>
      <c r="O64" s="8">
        <v>67802.84</v>
      </c>
      <c r="Q64" s="8">
        <v>60129.14</v>
      </c>
      <c r="S64" s="8">
        <v>0</v>
      </c>
      <c r="U64" s="8">
        <v>172075.14</v>
      </c>
      <c r="W64" s="8">
        <v>2151.6999999999998</v>
      </c>
      <c r="Y64" s="8">
        <v>10600</v>
      </c>
      <c r="AA64" s="8">
        <v>26000</v>
      </c>
      <c r="AC64" s="8">
        <v>0</v>
      </c>
      <c r="AE64" s="8">
        <f t="shared" si="0"/>
        <v>750481.04</v>
      </c>
      <c r="AF64" s="8"/>
      <c r="AG64" s="55">
        <v>287411.11</v>
      </c>
      <c r="AH64" s="55"/>
      <c r="AI64" s="55">
        <v>501029.35</v>
      </c>
      <c r="AJ64" s="55"/>
      <c r="AK64" s="55">
        <v>788440.46</v>
      </c>
      <c r="AL64" s="8">
        <f>+'Gov Rev'!AI64-'Gov Exp'!AE64+'Gov Exp'!AI64-'Gov Exp'!AK64</f>
        <v>0</v>
      </c>
      <c r="AM64" s="6" t="str">
        <f>'Gov Rev'!A64</f>
        <v>Bethesda</v>
      </c>
      <c r="AN64" s="6" t="str">
        <f t="shared" si="1"/>
        <v>Bethesda</v>
      </c>
      <c r="AO64" s="6" t="b">
        <f t="shared" si="2"/>
        <v>1</v>
      </c>
    </row>
    <row r="65" spans="1:41" ht="12" customHeight="1" x14ac:dyDescent="0.2">
      <c r="A65" s="6" t="s">
        <v>493</v>
      </c>
      <c r="C65" s="6" t="s">
        <v>494</v>
      </c>
      <c r="E65" s="8">
        <v>109209.11</v>
      </c>
      <c r="G65" s="8">
        <v>1355</v>
      </c>
      <c r="I65" s="8">
        <v>72661.95</v>
      </c>
      <c r="K65" s="8">
        <v>5000</v>
      </c>
      <c r="M65" s="8">
        <v>0</v>
      </c>
      <c r="O65" s="8">
        <v>32641.37</v>
      </c>
      <c r="Q65" s="8">
        <v>116178.09</v>
      </c>
      <c r="S65" s="8">
        <v>18985.16</v>
      </c>
      <c r="U65" s="8">
        <v>0</v>
      </c>
      <c r="W65" s="8">
        <v>0</v>
      </c>
      <c r="Y65" s="8">
        <v>10500</v>
      </c>
      <c r="AA65" s="8">
        <v>0</v>
      </c>
      <c r="AC65" s="8">
        <v>65442.5</v>
      </c>
      <c r="AE65" s="8">
        <f t="shared" si="0"/>
        <v>431973.18</v>
      </c>
      <c r="AF65" s="8"/>
      <c r="AG65" s="55">
        <v>-31629.63</v>
      </c>
      <c r="AH65" s="55"/>
      <c r="AI65" s="55">
        <v>546255.23</v>
      </c>
      <c r="AJ65" s="55"/>
      <c r="AK65" s="55">
        <v>514625.6</v>
      </c>
      <c r="AL65" s="8">
        <f>+'Gov Rev'!AI65-'Gov Exp'!AE65+'Gov Exp'!AI65-'Gov Exp'!AK65</f>
        <v>0</v>
      </c>
      <c r="AM65" s="6" t="str">
        <f>'Gov Rev'!A65</f>
        <v>Bettsville</v>
      </c>
      <c r="AN65" s="6" t="str">
        <f t="shared" si="1"/>
        <v>Bettsville</v>
      </c>
      <c r="AO65" s="6" t="b">
        <f t="shared" si="2"/>
        <v>1</v>
      </c>
    </row>
    <row r="66" spans="1:41" ht="12" customHeight="1" x14ac:dyDescent="0.2">
      <c r="A66" s="6" t="s">
        <v>544</v>
      </c>
      <c r="C66" s="6" t="s">
        <v>545</v>
      </c>
      <c r="E66" s="8">
        <v>253561.88</v>
      </c>
      <c r="G66" s="8">
        <v>17459.38</v>
      </c>
      <c r="I66" s="8">
        <v>65517.34</v>
      </c>
      <c r="K66" s="8">
        <v>2600</v>
      </c>
      <c r="M66" s="8">
        <v>0</v>
      </c>
      <c r="O66" s="8">
        <v>31807.3</v>
      </c>
      <c r="Q66" s="8">
        <v>192894.83</v>
      </c>
      <c r="S66" s="8">
        <v>92220.2</v>
      </c>
      <c r="U66" s="8">
        <v>59874.6</v>
      </c>
      <c r="W66" s="8">
        <v>1503.62</v>
      </c>
      <c r="Y66" s="8">
        <v>111138.28</v>
      </c>
      <c r="AA66" s="8">
        <v>0</v>
      </c>
      <c r="AC66" s="8">
        <v>0</v>
      </c>
      <c r="AE66" s="8">
        <f t="shared" si="0"/>
        <v>828577.42999999993</v>
      </c>
      <c r="AF66" s="8"/>
      <c r="AG66" s="55">
        <v>249064.46</v>
      </c>
      <c r="AH66" s="55"/>
      <c r="AI66" s="55">
        <v>437493.04</v>
      </c>
      <c r="AJ66" s="55"/>
      <c r="AK66" s="55">
        <v>686557.5</v>
      </c>
      <c r="AL66" s="8">
        <f>+'Gov Rev'!AI66-'Gov Exp'!AE66+'Gov Exp'!AI66-'Gov Exp'!AK66</f>
        <v>0</v>
      </c>
      <c r="AM66" s="6" t="str">
        <f>'Gov Rev'!A66</f>
        <v>Beverly</v>
      </c>
      <c r="AN66" s="6" t="str">
        <f t="shared" si="1"/>
        <v>Beverly</v>
      </c>
      <c r="AO66" s="6" t="b">
        <f t="shared" si="2"/>
        <v>1</v>
      </c>
    </row>
    <row r="67" spans="1:41" s="12" customFormat="1" ht="12" customHeight="1" x14ac:dyDescent="0.2">
      <c r="A67" s="6" t="s">
        <v>234</v>
      </c>
      <c r="B67" s="6"/>
      <c r="C67" s="6" t="s">
        <v>554</v>
      </c>
      <c r="D67" s="6"/>
      <c r="E67" s="8">
        <v>24021.46</v>
      </c>
      <c r="F67" s="8"/>
      <c r="G67" s="8">
        <v>0</v>
      </c>
      <c r="H67" s="8"/>
      <c r="I67" s="8">
        <v>0</v>
      </c>
      <c r="J67" s="8"/>
      <c r="K67" s="8">
        <v>0</v>
      </c>
      <c r="L67" s="8"/>
      <c r="M67" s="8">
        <v>395.64</v>
      </c>
      <c r="N67" s="8"/>
      <c r="O67" s="8">
        <v>8339.99</v>
      </c>
      <c r="P67" s="8"/>
      <c r="Q67" s="8">
        <v>10968.1</v>
      </c>
      <c r="R67" s="8"/>
      <c r="S67" s="8">
        <v>0</v>
      </c>
      <c r="T67" s="8"/>
      <c r="U67" s="8">
        <v>0</v>
      </c>
      <c r="V67" s="8"/>
      <c r="W67" s="8">
        <v>0</v>
      </c>
      <c r="X67" s="8"/>
      <c r="Y67" s="8">
        <v>0</v>
      </c>
      <c r="Z67" s="8"/>
      <c r="AA67" s="8">
        <v>0</v>
      </c>
      <c r="AB67" s="8"/>
      <c r="AC67" s="8">
        <v>0</v>
      </c>
      <c r="AD67" s="8"/>
      <c r="AE67" s="8">
        <f t="shared" si="0"/>
        <v>43725.189999999995</v>
      </c>
      <c r="AF67" s="8"/>
      <c r="AG67" s="55">
        <v>-13326.89</v>
      </c>
      <c r="AH67" s="55"/>
      <c r="AI67" s="55">
        <v>159216.31</v>
      </c>
      <c r="AJ67" s="55"/>
      <c r="AK67" s="55">
        <v>145889.42000000001</v>
      </c>
      <c r="AL67" s="8">
        <f>+'Gov Rev'!AI67-'Gov Exp'!AE67+'Gov Exp'!AI67-'Gov Exp'!AK67</f>
        <v>0</v>
      </c>
      <c r="AM67" s="6" t="str">
        <f>'Gov Rev'!A67</f>
        <v>Blakeslee</v>
      </c>
      <c r="AN67" s="6" t="str">
        <f t="shared" si="1"/>
        <v>Blakeslee</v>
      </c>
      <c r="AO67" s="6" t="b">
        <f t="shared" si="2"/>
        <v>1</v>
      </c>
    </row>
    <row r="68" spans="1:41" s="14" customFormat="1" ht="12" customHeight="1" x14ac:dyDescent="0.2">
      <c r="A68" s="6" t="s">
        <v>789</v>
      </c>
      <c r="B68" s="6"/>
      <c r="C68" s="6" t="s">
        <v>280</v>
      </c>
      <c r="D68" s="11"/>
      <c r="E68" s="8">
        <v>643365</v>
      </c>
      <c r="F68" s="8"/>
      <c r="G68" s="8">
        <v>12879</v>
      </c>
      <c r="H68" s="8"/>
      <c r="I68" s="8">
        <v>115438</v>
      </c>
      <c r="J68" s="8"/>
      <c r="K68" s="8">
        <v>20071</v>
      </c>
      <c r="L68" s="8"/>
      <c r="M68" s="8">
        <v>0</v>
      </c>
      <c r="N68" s="8"/>
      <c r="O68" s="8">
        <v>342107</v>
      </c>
      <c r="P68" s="8"/>
      <c r="Q68" s="8">
        <v>248529</v>
      </c>
      <c r="R68" s="8"/>
      <c r="S68" s="8">
        <v>7271376</v>
      </c>
      <c r="T68" s="8"/>
      <c r="U68" s="8">
        <v>330030</v>
      </c>
      <c r="V68" s="8"/>
      <c r="W68" s="8">
        <v>109395</v>
      </c>
      <c r="X68" s="8"/>
      <c r="Y68" s="8">
        <v>0</v>
      </c>
      <c r="Z68" s="8"/>
      <c r="AA68" s="8">
        <v>0</v>
      </c>
      <c r="AB68" s="8"/>
      <c r="AC68" s="8">
        <v>0</v>
      </c>
      <c r="AD68" s="8"/>
      <c r="AE68" s="8">
        <f t="shared" si="0"/>
        <v>9093190</v>
      </c>
      <c r="AF68" s="8"/>
      <c r="AG68" s="55"/>
      <c r="AH68" s="55"/>
      <c r="AI68" s="55"/>
      <c r="AJ68" s="55"/>
      <c r="AK68" s="55"/>
      <c r="AL68" s="8">
        <f>+'Gov Rev'!AI68-'Gov Exp'!AE68+'Gov Exp'!AI68-'Gov Exp'!AK68</f>
        <v>-2506506</v>
      </c>
      <c r="AM68" s="6" t="str">
        <f>'Gov Rev'!A68</f>
        <v>Blanchester</v>
      </c>
      <c r="AN68" s="6" t="str">
        <f t="shared" si="1"/>
        <v>Blanchester</v>
      </c>
      <c r="AO68" s="6" t="b">
        <f t="shared" si="2"/>
        <v>1</v>
      </c>
    </row>
    <row r="69" spans="1:41" ht="12" customHeight="1" x14ac:dyDescent="0.2">
      <c r="A69" s="6" t="s">
        <v>559</v>
      </c>
      <c r="C69" s="6" t="s">
        <v>558</v>
      </c>
      <c r="E69" s="8">
        <v>108971</v>
      </c>
      <c r="G69" s="8">
        <v>4152</v>
      </c>
      <c r="I69" s="8">
        <v>23480</v>
      </c>
      <c r="K69" s="8">
        <v>0</v>
      </c>
      <c r="M69" s="8">
        <v>0</v>
      </c>
      <c r="O69" s="8">
        <v>42389</v>
      </c>
      <c r="Q69" s="8">
        <v>85889</v>
      </c>
      <c r="S69" s="8">
        <v>59036</v>
      </c>
      <c r="U69" s="8">
        <v>0</v>
      </c>
      <c r="W69" s="8">
        <v>0</v>
      </c>
      <c r="Y69" s="8">
        <v>0</v>
      </c>
      <c r="AA69" s="8">
        <v>32715</v>
      </c>
      <c r="AC69" s="8">
        <v>0</v>
      </c>
      <c r="AE69" s="8">
        <f t="shared" si="0"/>
        <v>356632</v>
      </c>
      <c r="AF69" s="8"/>
      <c r="AG69" s="55"/>
      <c r="AH69" s="55"/>
      <c r="AI69" s="55"/>
      <c r="AJ69" s="55"/>
      <c r="AK69" s="55"/>
      <c r="AL69" s="8">
        <f>+'Gov Rev'!AI69-'Gov Exp'!AE69+'Gov Exp'!AI69-'Gov Exp'!AK69</f>
        <v>-73219</v>
      </c>
      <c r="AM69" s="6" t="str">
        <f>'Gov Rev'!A69</f>
        <v>Bloomdale</v>
      </c>
      <c r="AN69" s="6" t="str">
        <f t="shared" si="1"/>
        <v>Bloomdale</v>
      </c>
      <c r="AO69" s="6" t="b">
        <f t="shared" si="2"/>
        <v>1</v>
      </c>
    </row>
    <row r="70" spans="1:41" s="14" customFormat="1" ht="12" customHeight="1" x14ac:dyDescent="0.2">
      <c r="A70" s="6" t="s">
        <v>63</v>
      </c>
      <c r="B70" s="6"/>
      <c r="C70" s="6" t="s">
        <v>334</v>
      </c>
      <c r="D70" s="6"/>
      <c r="E70" s="8">
        <v>52168.160000000003</v>
      </c>
      <c r="F70" s="8"/>
      <c r="G70" s="8">
        <v>2072.8000000000002</v>
      </c>
      <c r="H70" s="8"/>
      <c r="I70" s="8">
        <v>1012.96</v>
      </c>
      <c r="J70" s="8"/>
      <c r="K70" s="8">
        <v>0</v>
      </c>
      <c r="L70" s="8"/>
      <c r="M70" s="8">
        <v>25112.99</v>
      </c>
      <c r="N70" s="8"/>
      <c r="O70" s="8">
        <v>20197.21</v>
      </c>
      <c r="P70" s="8"/>
      <c r="Q70" s="8">
        <v>47897.89</v>
      </c>
      <c r="R70" s="8"/>
      <c r="S70" s="8">
        <v>0</v>
      </c>
      <c r="T70" s="8"/>
      <c r="U70" s="8">
        <v>0</v>
      </c>
      <c r="V70" s="8"/>
      <c r="W70" s="8">
        <v>0</v>
      </c>
      <c r="X70" s="8"/>
      <c r="Y70" s="8">
        <v>600</v>
      </c>
      <c r="Z70" s="8"/>
      <c r="AA70" s="8">
        <v>0</v>
      </c>
      <c r="AB70" s="8"/>
      <c r="AC70" s="8">
        <v>439.16</v>
      </c>
      <c r="AD70" s="8"/>
      <c r="AE70" s="8">
        <f t="shared" si="0"/>
        <v>149501.17000000001</v>
      </c>
      <c r="AF70" s="8"/>
      <c r="AG70" s="55">
        <v>9380.2999999999993</v>
      </c>
      <c r="AH70" s="55"/>
      <c r="AI70" s="55">
        <v>41911.769999999997</v>
      </c>
      <c r="AJ70" s="55"/>
      <c r="AK70" s="55">
        <v>51292.07</v>
      </c>
      <c r="AL70" s="8">
        <f>+'Gov Rev'!AI70-'Gov Exp'!AE70+'Gov Exp'!AI70-'Gov Exp'!AK70</f>
        <v>0</v>
      </c>
      <c r="AM70" s="6" t="str">
        <f>'Gov Rev'!A70</f>
        <v>Bloomingburg</v>
      </c>
      <c r="AN70" s="6" t="str">
        <f t="shared" si="1"/>
        <v>Bloomingburg</v>
      </c>
      <c r="AO70" s="6" t="b">
        <f t="shared" si="2"/>
        <v>1</v>
      </c>
    </row>
    <row r="71" spans="1:41" s="14" customFormat="1" ht="12" customHeight="1" x14ac:dyDescent="0.2">
      <c r="A71" s="6"/>
      <c r="B71" s="6"/>
      <c r="C71" s="6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55"/>
      <c r="AH71" s="55"/>
      <c r="AI71" s="55"/>
      <c r="AJ71" s="55"/>
      <c r="AK71" s="55"/>
      <c r="AL71" s="8"/>
      <c r="AM71" s="6"/>
      <c r="AN71" s="6"/>
      <c r="AO71" s="6"/>
    </row>
    <row r="72" spans="1:41" s="14" customFormat="1" ht="12" customHeight="1" x14ac:dyDescent="0.2">
      <c r="A72" s="6"/>
      <c r="B72" s="6"/>
      <c r="C72" s="6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8" t="s">
        <v>733</v>
      </c>
      <c r="AF72" s="8"/>
      <c r="AG72" s="55"/>
      <c r="AH72" s="55"/>
      <c r="AI72" s="55"/>
      <c r="AJ72" s="55"/>
      <c r="AK72" s="55"/>
      <c r="AL72" s="8"/>
      <c r="AM72" s="6"/>
      <c r="AN72" s="6"/>
      <c r="AO72" s="6"/>
    </row>
    <row r="73" spans="1:41" s="14" customFormat="1" ht="12" customHeight="1" x14ac:dyDescent="0.2">
      <c r="A73" s="6"/>
      <c r="B73" s="6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55"/>
      <c r="AH73" s="55"/>
      <c r="AI73" s="55"/>
      <c r="AJ73" s="55"/>
      <c r="AK73" s="55"/>
      <c r="AL73" s="8"/>
      <c r="AM73" s="6"/>
      <c r="AN73" s="6"/>
      <c r="AO73" s="6"/>
    </row>
    <row r="74" spans="1:41" ht="12" customHeight="1" x14ac:dyDescent="0.2">
      <c r="A74" s="6" t="s">
        <v>110</v>
      </c>
      <c r="C74" s="6" t="s">
        <v>390</v>
      </c>
      <c r="E74" s="54">
        <v>7843.24</v>
      </c>
      <c r="G74" s="18">
        <v>509.59</v>
      </c>
      <c r="H74" s="18"/>
      <c r="I74" s="18">
        <v>5337.66</v>
      </c>
      <c r="J74" s="18"/>
      <c r="K74" s="18">
        <v>0</v>
      </c>
      <c r="L74" s="18"/>
      <c r="M74" s="18">
        <v>0</v>
      </c>
      <c r="N74" s="18"/>
      <c r="O74" s="18">
        <v>14609.16</v>
      </c>
      <c r="P74" s="18"/>
      <c r="Q74" s="18">
        <v>15212.03</v>
      </c>
      <c r="R74" s="18"/>
      <c r="S74" s="18">
        <v>6800</v>
      </c>
      <c r="T74" s="18"/>
      <c r="U74" s="18">
        <v>2400</v>
      </c>
      <c r="V74" s="18"/>
      <c r="W74" s="18">
        <v>0</v>
      </c>
      <c r="X74" s="18"/>
      <c r="Y74" s="18">
        <v>0</v>
      </c>
      <c r="Z74" s="18"/>
      <c r="AA74" s="18">
        <v>0</v>
      </c>
      <c r="AB74" s="18"/>
      <c r="AC74" s="18">
        <v>0</v>
      </c>
      <c r="AD74" s="18"/>
      <c r="AE74" s="18">
        <f t="shared" si="0"/>
        <v>52711.68</v>
      </c>
      <c r="AF74" s="18"/>
      <c r="AG74" s="64">
        <v>-8718.4599999999991</v>
      </c>
      <c r="AH74" s="64"/>
      <c r="AI74" s="64">
        <v>46440.75</v>
      </c>
      <c r="AJ74" s="64"/>
      <c r="AK74" s="64">
        <v>37722.29</v>
      </c>
      <c r="AL74" s="8">
        <f>+'Gov Rev'!AI71-'Gov Exp'!AE74+'Gov Exp'!AI74-'Gov Exp'!AK74</f>
        <v>0</v>
      </c>
      <c r="AM74" s="6" t="str">
        <f>'Gov Rev'!A71</f>
        <v>Bloomingdale</v>
      </c>
      <c r="AN74" s="6" t="str">
        <f t="shared" si="1"/>
        <v>Bloomingdale</v>
      </c>
      <c r="AO74" s="6" t="b">
        <f t="shared" si="2"/>
        <v>1</v>
      </c>
    </row>
    <row r="75" spans="1:41" s="14" customFormat="1" ht="12" customHeight="1" x14ac:dyDescent="0.2">
      <c r="A75" s="6" t="s">
        <v>495</v>
      </c>
      <c r="B75" s="6"/>
      <c r="C75" s="6" t="s">
        <v>494</v>
      </c>
      <c r="D75" s="6"/>
      <c r="E75" s="8">
        <v>54461</v>
      </c>
      <c r="F75" s="8"/>
      <c r="G75" s="8">
        <v>1523</v>
      </c>
      <c r="H75" s="8"/>
      <c r="I75" s="8">
        <v>61272</v>
      </c>
      <c r="J75" s="8"/>
      <c r="K75" s="8">
        <v>0</v>
      </c>
      <c r="L75" s="8"/>
      <c r="M75" s="8">
        <v>7166</v>
      </c>
      <c r="N75" s="8"/>
      <c r="O75" s="8">
        <v>41893</v>
      </c>
      <c r="P75" s="8"/>
      <c r="Q75" s="8">
        <v>48061</v>
      </c>
      <c r="R75" s="8"/>
      <c r="S75" s="8">
        <v>0</v>
      </c>
      <c r="T75" s="8"/>
      <c r="U75" s="8">
        <v>0</v>
      </c>
      <c r="V75" s="8"/>
      <c r="W75" s="8">
        <v>0</v>
      </c>
      <c r="X75" s="8"/>
      <c r="Y75" s="8">
        <v>36720</v>
      </c>
      <c r="Z75" s="8"/>
      <c r="AA75" s="8">
        <v>0</v>
      </c>
      <c r="AB75" s="8"/>
      <c r="AC75" s="8">
        <v>0</v>
      </c>
      <c r="AD75" s="8"/>
      <c r="AE75" s="8">
        <f t="shared" si="0"/>
        <v>251096</v>
      </c>
      <c r="AF75" s="8"/>
      <c r="AG75" s="55"/>
      <c r="AH75" s="55"/>
      <c r="AI75" s="55"/>
      <c r="AJ75" s="55"/>
      <c r="AK75" s="55"/>
      <c r="AL75" s="8">
        <f>+'Gov Rev'!AI72-'Gov Exp'!AE75+'Gov Exp'!AI75-'Gov Exp'!AK75</f>
        <v>-55231</v>
      </c>
      <c r="AM75" s="6" t="str">
        <f>'Gov Rev'!A72</f>
        <v>Bloomville</v>
      </c>
      <c r="AN75" s="6" t="str">
        <f t="shared" si="1"/>
        <v>Bloomville</v>
      </c>
      <c r="AO75" s="6" t="b">
        <f t="shared" si="2"/>
        <v>1</v>
      </c>
    </row>
    <row r="76" spans="1:41" ht="12" customHeight="1" x14ac:dyDescent="0.2">
      <c r="A76" s="6" t="s">
        <v>633</v>
      </c>
      <c r="C76" s="6" t="s">
        <v>651</v>
      </c>
      <c r="E76" s="8">
        <v>727168</v>
      </c>
      <c r="G76" s="8">
        <v>48664</v>
      </c>
      <c r="I76" s="8">
        <v>84085</v>
      </c>
      <c r="K76" s="8">
        <v>1000</v>
      </c>
      <c r="M76" s="8">
        <v>19500</v>
      </c>
      <c r="O76" s="8">
        <v>332736</v>
      </c>
      <c r="Q76" s="8">
        <v>474504</v>
      </c>
      <c r="S76" s="8">
        <v>750026</v>
      </c>
      <c r="U76" s="8">
        <v>0</v>
      </c>
      <c r="W76" s="8">
        <v>0</v>
      </c>
      <c r="Y76" s="8">
        <v>747517</v>
      </c>
      <c r="AA76" s="8">
        <v>103000</v>
      </c>
      <c r="AC76" s="8">
        <v>0</v>
      </c>
      <c r="AE76" s="8">
        <f t="shared" ref="AE76:AE142" si="3">SUM(E76:AC76)</f>
        <v>3288200</v>
      </c>
      <c r="AF76" s="8"/>
      <c r="AG76" s="55"/>
      <c r="AH76" s="55"/>
      <c r="AI76" s="55"/>
      <c r="AJ76" s="55"/>
      <c r="AK76" s="55"/>
      <c r="AL76" s="8">
        <f>+'Gov Rev'!AI76-'Gov Exp'!AE76+'Gov Exp'!AI76-'Gov Exp'!AK76</f>
        <v>597604</v>
      </c>
      <c r="AM76" s="6" t="str">
        <f>'Gov Rev'!A76</f>
        <v>Bluffton</v>
      </c>
      <c r="AN76" s="6" t="str">
        <f t="shared" ref="AN76:AN142" si="4">A76</f>
        <v>Bluffton</v>
      </c>
      <c r="AO76" s="6" t="b">
        <f t="shared" ref="AO76:AO142" si="5">AM76=AN76</f>
        <v>1</v>
      </c>
    </row>
    <row r="77" spans="1:41" ht="12" customHeight="1" x14ac:dyDescent="0.2">
      <c r="A77" s="6" t="s">
        <v>523</v>
      </c>
      <c r="C77" s="6" t="s">
        <v>521</v>
      </c>
      <c r="E77" s="8">
        <v>218885.14</v>
      </c>
      <c r="G77" s="8">
        <v>69.3</v>
      </c>
      <c r="I77" s="8">
        <v>19802.400000000001</v>
      </c>
      <c r="K77" s="8">
        <v>147575.07999999999</v>
      </c>
      <c r="M77" s="8">
        <v>32516.94</v>
      </c>
      <c r="O77" s="8">
        <v>99504.87</v>
      </c>
      <c r="Q77" s="8">
        <v>128119</v>
      </c>
      <c r="S77" s="8">
        <v>35822.230000000003</v>
      </c>
      <c r="U77" s="8">
        <v>373900</v>
      </c>
      <c r="W77" s="8">
        <v>12408.66</v>
      </c>
      <c r="Y77" s="8">
        <v>107957.88</v>
      </c>
      <c r="AA77" s="8">
        <v>0</v>
      </c>
      <c r="AC77" s="8">
        <v>19933.62</v>
      </c>
      <c r="AE77" s="8">
        <f t="shared" si="3"/>
        <v>1196495.1200000001</v>
      </c>
      <c r="AF77" s="8"/>
      <c r="AG77" s="55">
        <v>-254485</v>
      </c>
      <c r="AH77" s="55"/>
      <c r="AI77" s="55">
        <v>1243560.95</v>
      </c>
      <c r="AJ77" s="55"/>
      <c r="AK77" s="55">
        <v>989075.95</v>
      </c>
      <c r="AL77" s="8">
        <f>+'Gov Rev'!AI77-'Gov Exp'!AE77+'Gov Exp'!AI77-'Gov Exp'!AK77</f>
        <v>0</v>
      </c>
      <c r="AM77" s="6" t="str">
        <f>'Gov Rev'!A77</f>
        <v>Bolivar</v>
      </c>
      <c r="AN77" s="6" t="str">
        <f t="shared" si="4"/>
        <v>Bolivar</v>
      </c>
      <c r="AO77" s="6" t="b">
        <f t="shared" si="5"/>
        <v>1</v>
      </c>
    </row>
    <row r="78" spans="1:41" ht="12" customHeight="1" x14ac:dyDescent="0.2">
      <c r="A78" s="6" t="s">
        <v>510</v>
      </c>
      <c r="C78" s="6" t="s">
        <v>511</v>
      </c>
      <c r="E78" s="8">
        <v>697876</v>
      </c>
      <c r="G78" s="8">
        <v>25784</v>
      </c>
      <c r="I78" s="8">
        <v>20704</v>
      </c>
      <c r="K78" s="8">
        <v>92931</v>
      </c>
      <c r="M78" s="8">
        <v>6230</v>
      </c>
      <c r="O78" s="8">
        <v>643241</v>
      </c>
      <c r="Q78" s="8">
        <f>554443+172936+38257+101112</f>
        <v>866748</v>
      </c>
      <c r="S78" s="8">
        <v>464615</v>
      </c>
      <c r="U78" s="8">
        <v>0</v>
      </c>
      <c r="W78" s="8">
        <v>0</v>
      </c>
      <c r="Y78" s="8">
        <v>0</v>
      </c>
      <c r="AA78" s="8">
        <v>0</v>
      </c>
      <c r="AC78" s="8">
        <v>102</v>
      </c>
      <c r="AE78" s="8">
        <f t="shared" si="3"/>
        <v>2818231</v>
      </c>
      <c r="AF78" s="8"/>
      <c r="AG78" s="55"/>
      <c r="AH78" s="55"/>
      <c r="AI78" s="55"/>
      <c r="AJ78" s="55"/>
      <c r="AK78" s="55"/>
      <c r="AL78" s="8">
        <f>+'Gov Rev'!AI78-'Gov Exp'!AE78+'Gov Exp'!AI78-'Gov Exp'!AK78</f>
        <v>386123</v>
      </c>
      <c r="AM78" s="6" t="str">
        <f>'Gov Rev'!A78</f>
        <v>Boston Heights</v>
      </c>
      <c r="AN78" s="6" t="str">
        <f t="shared" si="4"/>
        <v>Boston Heights</v>
      </c>
      <c r="AO78" s="6" t="b">
        <f t="shared" si="5"/>
        <v>1</v>
      </c>
    </row>
    <row r="79" spans="1:41" s="14" customFormat="1" ht="12" customHeight="1" x14ac:dyDescent="0.2">
      <c r="A79" s="8" t="s">
        <v>497</v>
      </c>
      <c r="B79" s="8"/>
      <c r="C79" s="8" t="s">
        <v>498</v>
      </c>
      <c r="D79" s="8"/>
      <c r="E79" s="8">
        <v>226520</v>
      </c>
      <c r="F79" s="8"/>
      <c r="G79" s="8">
        <v>4171</v>
      </c>
      <c r="H79" s="8"/>
      <c r="I79" s="8">
        <v>54616</v>
      </c>
      <c r="J79" s="8"/>
      <c r="K79" s="8">
        <v>174</v>
      </c>
      <c r="L79" s="8"/>
      <c r="M79" s="8">
        <v>0</v>
      </c>
      <c r="N79" s="8"/>
      <c r="O79" s="8">
        <v>86532</v>
      </c>
      <c r="P79" s="8"/>
      <c r="Q79" s="8">
        <v>369163</v>
      </c>
      <c r="R79" s="8"/>
      <c r="S79" s="8">
        <v>293722</v>
      </c>
      <c r="T79" s="8"/>
      <c r="U79" s="8">
        <v>46736</v>
      </c>
      <c r="V79" s="8"/>
      <c r="W79" s="8">
        <v>3646</v>
      </c>
      <c r="X79" s="8"/>
      <c r="Y79" s="8">
        <v>0</v>
      </c>
      <c r="Z79" s="8"/>
      <c r="AA79" s="8">
        <v>0</v>
      </c>
      <c r="AB79" s="8"/>
      <c r="AC79" s="8">
        <v>0</v>
      </c>
      <c r="AD79" s="8"/>
      <c r="AE79" s="8">
        <f t="shared" si="3"/>
        <v>1085280</v>
      </c>
      <c r="AF79" s="8"/>
      <c r="AG79" s="55"/>
      <c r="AH79" s="55"/>
      <c r="AI79" s="55"/>
      <c r="AJ79" s="55"/>
      <c r="AK79" s="55"/>
      <c r="AL79" s="8">
        <f>+'Gov Rev'!AI79-'Gov Exp'!AE79+'Gov Exp'!AI79-'Gov Exp'!AK79</f>
        <v>75631</v>
      </c>
      <c r="AM79" s="6" t="str">
        <f>'Gov Rev'!A79</f>
        <v>Botkins</v>
      </c>
      <c r="AN79" s="6" t="str">
        <f t="shared" si="4"/>
        <v>Botkins</v>
      </c>
      <c r="AO79" s="6" t="b">
        <f t="shared" si="5"/>
        <v>1</v>
      </c>
    </row>
    <row r="80" spans="1:41" ht="12" customHeight="1" x14ac:dyDescent="0.2">
      <c r="A80" s="6" t="s">
        <v>372</v>
      </c>
      <c r="C80" s="6" t="s">
        <v>373</v>
      </c>
      <c r="E80" s="8">
        <v>16577.71</v>
      </c>
      <c r="G80" s="8">
        <v>0</v>
      </c>
      <c r="I80" s="8">
        <v>18402</v>
      </c>
      <c r="K80" s="8">
        <v>0</v>
      </c>
      <c r="M80" s="8">
        <v>240</v>
      </c>
      <c r="O80" s="8">
        <v>7175</v>
      </c>
      <c r="Q80" s="8">
        <v>83978.65</v>
      </c>
      <c r="S80" s="8">
        <v>12935</v>
      </c>
      <c r="U80" s="8">
        <v>0</v>
      </c>
      <c r="W80" s="8">
        <v>0</v>
      </c>
      <c r="Y80" s="8">
        <v>0</v>
      </c>
      <c r="AA80" s="8">
        <v>0</v>
      </c>
      <c r="AC80" s="8">
        <v>0</v>
      </c>
      <c r="AE80" s="8">
        <f t="shared" si="3"/>
        <v>139308.35999999999</v>
      </c>
      <c r="AF80" s="8"/>
      <c r="AG80" s="55">
        <v>-18242.38</v>
      </c>
      <c r="AH80" s="55"/>
      <c r="AI80" s="55">
        <v>294947.43</v>
      </c>
      <c r="AJ80" s="55"/>
      <c r="AK80" s="55">
        <v>276705.05</v>
      </c>
      <c r="AL80" s="8">
        <f>+'Gov Rev'!AI80-'Gov Exp'!AE80+'Gov Exp'!AI80-'Gov Exp'!AK80</f>
        <v>0</v>
      </c>
      <c r="AM80" s="6" t="str">
        <f>'Gov Rev'!A80</f>
        <v>Bowerston</v>
      </c>
      <c r="AN80" s="6" t="str">
        <f t="shared" si="4"/>
        <v>Bowerston</v>
      </c>
      <c r="AO80" s="6" t="b">
        <f t="shared" si="5"/>
        <v>1</v>
      </c>
    </row>
    <row r="81" spans="1:41" ht="12" customHeight="1" x14ac:dyDescent="0.2">
      <c r="A81" s="6" t="s">
        <v>78</v>
      </c>
      <c r="C81" s="6" t="s">
        <v>345</v>
      </c>
      <c r="E81" s="8">
        <v>0</v>
      </c>
      <c r="G81" s="8">
        <v>0</v>
      </c>
      <c r="I81" s="8">
        <v>0</v>
      </c>
      <c r="K81" s="8">
        <v>0</v>
      </c>
      <c r="M81" s="8">
        <v>0</v>
      </c>
      <c r="O81" s="8">
        <v>19063.36</v>
      </c>
      <c r="Q81" s="8">
        <v>33976.879999999997</v>
      </c>
      <c r="S81" s="8">
        <v>0</v>
      </c>
      <c r="U81" s="8">
        <v>0</v>
      </c>
      <c r="W81" s="8">
        <v>0</v>
      </c>
      <c r="Y81" s="8">
        <v>0</v>
      </c>
      <c r="AA81" s="8">
        <v>0</v>
      </c>
      <c r="AC81" s="8">
        <v>15</v>
      </c>
      <c r="AE81" s="8">
        <f t="shared" si="3"/>
        <v>53055.24</v>
      </c>
      <c r="AF81" s="8"/>
      <c r="AG81" s="55">
        <v>-1658.88</v>
      </c>
      <c r="AH81" s="55"/>
      <c r="AI81" s="55">
        <v>86914.43</v>
      </c>
      <c r="AJ81" s="55"/>
      <c r="AK81" s="55">
        <v>85255.55</v>
      </c>
      <c r="AL81" s="8">
        <f>+'Gov Rev'!AI81-'Gov Exp'!AE81+'Gov Exp'!AI81-'Gov Exp'!AK81</f>
        <v>0</v>
      </c>
      <c r="AM81" s="6" t="str">
        <f>'Gov Rev'!A81</f>
        <v>Bowersville</v>
      </c>
      <c r="AN81" s="6" t="str">
        <f t="shared" si="4"/>
        <v>Bowersville</v>
      </c>
      <c r="AO81" s="6" t="b">
        <f t="shared" si="5"/>
        <v>1</v>
      </c>
    </row>
    <row r="82" spans="1:41" ht="12" customHeight="1" x14ac:dyDescent="0.2">
      <c r="A82" s="6" t="s">
        <v>436</v>
      </c>
      <c r="C82" s="6" t="s">
        <v>781</v>
      </c>
      <c r="E82" s="8">
        <f>163183+114511</f>
        <v>277694</v>
      </c>
      <c r="G82" s="8">
        <v>0</v>
      </c>
      <c r="I82" s="8">
        <v>3672</v>
      </c>
      <c r="K82" s="8">
        <v>0</v>
      </c>
      <c r="M82" s="8">
        <v>0</v>
      </c>
      <c r="O82" s="8">
        <v>148242</v>
      </c>
      <c r="Q82" s="8">
        <v>129636</v>
      </c>
      <c r="S82" s="8">
        <v>0</v>
      </c>
      <c r="U82" s="8">
        <v>32040</v>
      </c>
      <c r="W82" s="8">
        <v>0</v>
      </c>
      <c r="Y82" s="8">
        <v>0</v>
      </c>
      <c r="AA82" s="8">
        <v>0</v>
      </c>
      <c r="AC82" s="8">
        <v>0</v>
      </c>
      <c r="AE82" s="8">
        <f t="shared" si="3"/>
        <v>591284</v>
      </c>
      <c r="AF82" s="8"/>
      <c r="AG82" s="55"/>
      <c r="AH82" s="55"/>
      <c r="AI82" s="55"/>
      <c r="AJ82" s="55"/>
      <c r="AK82" s="55"/>
      <c r="AL82" s="8">
        <f>+'Gov Rev'!AI82-'Gov Exp'!AE82+'Gov Exp'!AI82-'Gov Exp'!AK82</f>
        <v>48268</v>
      </c>
      <c r="AM82" s="6" t="str">
        <f>'Gov Rev'!A82</f>
        <v>Bradford</v>
      </c>
      <c r="AN82" s="6" t="str">
        <f t="shared" si="4"/>
        <v>Bradford</v>
      </c>
      <c r="AO82" s="6" t="b">
        <f t="shared" si="5"/>
        <v>1</v>
      </c>
    </row>
    <row r="83" spans="1:41" ht="12" customHeight="1" x14ac:dyDescent="0.2">
      <c r="A83" s="6" t="s">
        <v>560</v>
      </c>
      <c r="C83" s="6" t="s">
        <v>558</v>
      </c>
      <c r="E83" s="8">
        <v>145437</v>
      </c>
      <c r="G83" s="8">
        <v>344</v>
      </c>
      <c r="I83" s="8">
        <v>30913</v>
      </c>
      <c r="K83" s="8">
        <f>5988+6323+1385</f>
        <v>13696</v>
      </c>
      <c r="M83" s="8">
        <v>24166</v>
      </c>
      <c r="O83" s="8">
        <v>70050</v>
      </c>
      <c r="Q83" s="8">
        <v>120355</v>
      </c>
      <c r="S83" s="8">
        <f>58715+24669</f>
        <v>83384</v>
      </c>
      <c r="U83" s="8">
        <v>51632</v>
      </c>
      <c r="W83" s="8">
        <v>38161</v>
      </c>
      <c r="Y83" s="8">
        <v>16656</v>
      </c>
      <c r="AA83" s="8">
        <v>0</v>
      </c>
      <c r="AC83" s="8">
        <v>0</v>
      </c>
      <c r="AE83" s="8">
        <f t="shared" si="3"/>
        <v>594794</v>
      </c>
      <c r="AF83" s="8"/>
      <c r="AG83" s="55"/>
      <c r="AH83" s="55"/>
      <c r="AI83" s="55"/>
      <c r="AJ83" s="55"/>
      <c r="AK83" s="55"/>
      <c r="AL83" s="8">
        <f>+'Gov Rev'!AI83-'Gov Exp'!AE83+'Gov Exp'!AI83-'Gov Exp'!AK83</f>
        <v>7486</v>
      </c>
      <c r="AM83" s="6" t="str">
        <f>'Gov Rev'!A83</f>
        <v>Bradner</v>
      </c>
      <c r="AN83" s="6" t="str">
        <f t="shared" si="4"/>
        <v>Bradner</v>
      </c>
      <c r="AO83" s="6" t="b">
        <f t="shared" si="5"/>
        <v>1</v>
      </c>
    </row>
    <row r="84" spans="1:41" ht="12" customHeight="1" x14ac:dyDescent="0.2">
      <c r="A84" s="6" t="s">
        <v>763</v>
      </c>
      <c r="C84" s="6" t="s">
        <v>241</v>
      </c>
      <c r="E84" s="8">
        <v>101110</v>
      </c>
      <c r="G84" s="8">
        <v>0</v>
      </c>
      <c r="I84" s="8">
        <v>0</v>
      </c>
      <c r="K84" s="8">
        <v>23202</v>
      </c>
      <c r="M84" s="8">
        <v>0</v>
      </c>
      <c r="O84" s="8">
        <v>7778</v>
      </c>
      <c r="Q84" s="8">
        <f>59015+9834+30072</f>
        <v>98921</v>
      </c>
      <c r="S84" s="8">
        <v>13912</v>
      </c>
      <c r="U84" s="8">
        <v>0</v>
      </c>
      <c r="W84" s="8">
        <v>0</v>
      </c>
      <c r="Y84" s="8">
        <v>2920</v>
      </c>
      <c r="AA84" s="8">
        <v>0</v>
      </c>
      <c r="AC84" s="8">
        <v>0</v>
      </c>
      <c r="AE84" s="8">
        <f t="shared" si="3"/>
        <v>247843</v>
      </c>
      <c r="AF84" s="8"/>
      <c r="AG84" s="55"/>
      <c r="AH84" s="55"/>
      <c r="AI84" s="55"/>
      <c r="AJ84" s="55"/>
      <c r="AK84" s="55"/>
      <c r="AL84" s="8">
        <f>+'Gov Rev'!AI84-'Gov Exp'!AE84+'Gov Exp'!AI84-'Gov Exp'!AK84</f>
        <v>1943</v>
      </c>
      <c r="AM84" s="6" t="str">
        <f>'Gov Rev'!A84</f>
        <v>Brady Lake</v>
      </c>
      <c r="AN84" s="6" t="str">
        <f t="shared" si="4"/>
        <v>Brady Lake</v>
      </c>
      <c r="AO84" s="6" t="b">
        <f t="shared" si="5"/>
        <v>1</v>
      </c>
    </row>
    <row r="85" spans="1:41" ht="12" customHeight="1" x14ac:dyDescent="0.2">
      <c r="A85" s="6" t="s">
        <v>294</v>
      </c>
      <c r="C85" s="6" t="s">
        <v>293</v>
      </c>
      <c r="E85" s="8">
        <v>1818866.98</v>
      </c>
      <c r="G85" s="8">
        <v>0</v>
      </c>
      <c r="I85" s="8">
        <v>89794.23</v>
      </c>
      <c r="K85" s="8">
        <v>98924.77</v>
      </c>
      <c r="M85" s="8">
        <v>59000</v>
      </c>
      <c r="O85" s="8">
        <v>494010.61</v>
      </c>
      <c r="Q85" s="8">
        <v>915498.15</v>
      </c>
      <c r="S85" s="8">
        <v>106459.14</v>
      </c>
      <c r="U85" s="8">
        <v>921637.54</v>
      </c>
      <c r="W85" s="8">
        <v>35490.620000000003</v>
      </c>
      <c r="Y85" s="8">
        <v>507249.57</v>
      </c>
      <c r="AA85" s="8">
        <v>0</v>
      </c>
      <c r="AC85" s="8">
        <v>74671.14</v>
      </c>
      <c r="AE85" s="8">
        <f t="shared" si="3"/>
        <v>5121602.75</v>
      </c>
      <c r="AF85" s="8"/>
      <c r="AG85" s="55">
        <v>314126.64</v>
      </c>
      <c r="AH85" s="55"/>
      <c r="AI85" s="55">
        <v>1564868.88</v>
      </c>
      <c r="AJ85" s="55"/>
      <c r="AK85" s="55">
        <v>1878995.52</v>
      </c>
      <c r="AL85" s="8">
        <f>+'Gov Rev'!AI85-'Gov Exp'!AE85+'Gov Exp'!AI85-'Gov Exp'!AK85</f>
        <v>0</v>
      </c>
      <c r="AM85" s="6" t="str">
        <f>'Gov Rev'!A85</f>
        <v>Bratenahl</v>
      </c>
      <c r="AN85" s="6" t="str">
        <f t="shared" si="4"/>
        <v>Bratenahl</v>
      </c>
      <c r="AO85" s="6" t="b">
        <f t="shared" si="5"/>
        <v>1</v>
      </c>
    </row>
    <row r="86" spans="1:41" ht="12" customHeight="1" x14ac:dyDescent="0.2">
      <c r="A86" s="6" t="s">
        <v>56</v>
      </c>
      <c r="C86" s="6" t="s">
        <v>327</v>
      </c>
      <c r="E86" s="8">
        <v>80298.36</v>
      </c>
      <c r="G86" s="8">
        <v>0</v>
      </c>
      <c r="I86" s="8">
        <v>48878.2</v>
      </c>
      <c r="K86" s="8">
        <v>4113.29</v>
      </c>
      <c r="M86" s="8">
        <v>0</v>
      </c>
      <c r="O86" s="8">
        <v>157128.42000000001</v>
      </c>
      <c r="Q86" s="8">
        <v>138101.53</v>
      </c>
      <c r="S86" s="8">
        <v>24355.9</v>
      </c>
      <c r="U86" s="8">
        <v>0</v>
      </c>
      <c r="W86" s="8">
        <v>0</v>
      </c>
      <c r="Y86" s="8">
        <v>194094.04</v>
      </c>
      <c r="AA86" s="8">
        <v>0</v>
      </c>
      <c r="AC86" s="8">
        <v>0</v>
      </c>
      <c r="AE86" s="8">
        <f t="shared" si="3"/>
        <v>646969.74000000011</v>
      </c>
      <c r="AF86" s="8"/>
      <c r="AG86" s="55">
        <v>7082.22</v>
      </c>
      <c r="AH86" s="55"/>
      <c r="AI86" s="55">
        <v>376928.28</v>
      </c>
      <c r="AJ86" s="55"/>
      <c r="AK86" s="55">
        <v>384010.5</v>
      </c>
      <c r="AL86" s="8">
        <f>+'Gov Rev'!AI86-'Gov Exp'!AE86+'Gov Exp'!AI86-'Gov Exp'!AK86</f>
        <v>0</v>
      </c>
      <c r="AM86" s="6" t="str">
        <f>'Gov Rev'!A86</f>
        <v>Bremen</v>
      </c>
      <c r="AN86" s="6" t="str">
        <f t="shared" si="4"/>
        <v>Bremen</v>
      </c>
      <c r="AO86" s="6" t="b">
        <f t="shared" si="5"/>
        <v>1</v>
      </c>
    </row>
    <row r="87" spans="1:41" ht="12" customHeight="1" x14ac:dyDescent="0.2">
      <c r="A87" s="6" t="s">
        <v>503</v>
      </c>
      <c r="C87" s="6" t="s">
        <v>502</v>
      </c>
      <c r="E87" s="8">
        <v>714992</v>
      </c>
      <c r="G87" s="8">
        <v>8025</v>
      </c>
      <c r="I87" s="8">
        <v>19687</v>
      </c>
      <c r="K87" s="8">
        <v>2458</v>
      </c>
      <c r="M87" s="8">
        <v>6640</v>
      </c>
      <c r="O87" s="8">
        <v>199394</v>
      </c>
      <c r="Q87" s="8">
        <v>207285</v>
      </c>
      <c r="S87" s="8">
        <v>209726</v>
      </c>
      <c r="U87" s="8">
        <v>20297</v>
      </c>
      <c r="W87" s="8">
        <v>4524</v>
      </c>
      <c r="Y87" s="8">
        <v>228549</v>
      </c>
      <c r="AA87" s="8">
        <v>0</v>
      </c>
      <c r="AC87" s="8">
        <v>11903</v>
      </c>
      <c r="AE87" s="8">
        <f t="shared" si="3"/>
        <v>1633480</v>
      </c>
      <c r="AF87" s="8"/>
      <c r="AG87" s="55"/>
      <c r="AH87" s="55"/>
      <c r="AI87" s="55"/>
      <c r="AJ87" s="55"/>
      <c r="AK87" s="55"/>
      <c r="AL87" s="8">
        <f>+'Gov Rev'!AI87-'Gov Exp'!AE87+'Gov Exp'!AI87-'Gov Exp'!AK87</f>
        <v>6266</v>
      </c>
      <c r="AM87" s="6" t="str">
        <f>'Gov Rev'!A87</f>
        <v>Brewster</v>
      </c>
      <c r="AN87" s="6" t="str">
        <f t="shared" si="4"/>
        <v>Brewster</v>
      </c>
      <c r="AO87" s="6" t="b">
        <f t="shared" si="5"/>
        <v>1</v>
      </c>
    </row>
    <row r="88" spans="1:41" s="14" customFormat="1" ht="12" customHeight="1" x14ac:dyDescent="0.2">
      <c r="A88" s="6" t="s">
        <v>67</v>
      </c>
      <c r="B88" s="6"/>
      <c r="C88" s="6" t="s">
        <v>329</v>
      </c>
      <c r="D88" s="6"/>
      <c r="E88" s="8">
        <v>161091.4</v>
      </c>
      <c r="F88" s="8"/>
      <c r="G88" s="8">
        <v>0</v>
      </c>
      <c r="H88" s="8"/>
      <c r="I88" s="8">
        <v>0</v>
      </c>
      <c r="J88" s="8"/>
      <c r="K88" s="8">
        <v>0</v>
      </c>
      <c r="L88" s="8"/>
      <c r="M88" s="8">
        <v>881.61</v>
      </c>
      <c r="N88" s="8"/>
      <c r="O88" s="8">
        <v>3963.79</v>
      </c>
      <c r="P88" s="8"/>
      <c r="Q88" s="8">
        <v>142757.21</v>
      </c>
      <c r="R88" s="8"/>
      <c r="S88" s="8">
        <v>0</v>
      </c>
      <c r="T88" s="8"/>
      <c r="U88" s="8">
        <v>1800</v>
      </c>
      <c r="V88" s="8"/>
      <c r="W88" s="8">
        <v>1175.98</v>
      </c>
      <c r="X88" s="8"/>
      <c r="Y88" s="8">
        <v>0</v>
      </c>
      <c r="Z88" s="8"/>
      <c r="AA88" s="8">
        <v>15597.98</v>
      </c>
      <c r="AB88" s="8"/>
      <c r="AC88" s="8">
        <v>0</v>
      </c>
      <c r="AD88" s="8"/>
      <c r="AE88" s="8">
        <f t="shared" si="3"/>
        <v>327267.96999999997</v>
      </c>
      <c r="AF88" s="8"/>
      <c r="AG88" s="55">
        <v>-17931.71</v>
      </c>
      <c r="AH88" s="55"/>
      <c r="AI88" s="55">
        <v>49100.21</v>
      </c>
      <c r="AJ88" s="55"/>
      <c r="AK88" s="55">
        <v>31168.5</v>
      </c>
      <c r="AL88" s="8">
        <f>+'Gov Rev'!AI88-'Gov Exp'!AE88+'Gov Exp'!AI88-'Gov Exp'!AK88</f>
        <v>0</v>
      </c>
      <c r="AM88" s="6" t="str">
        <f>'Gov Rev'!A88</f>
        <v>Brice</v>
      </c>
      <c r="AN88" s="6" t="str">
        <f t="shared" si="4"/>
        <v>Brice</v>
      </c>
      <c r="AO88" s="6" t="b">
        <f t="shared" si="5"/>
        <v>1</v>
      </c>
    </row>
    <row r="89" spans="1:41" ht="12" customHeight="1" x14ac:dyDescent="0.2">
      <c r="A89" s="6" t="s">
        <v>263</v>
      </c>
      <c r="C89" s="6" t="s">
        <v>261</v>
      </c>
      <c r="E89" s="8">
        <v>373253.81</v>
      </c>
      <c r="G89" s="8">
        <v>12891.88</v>
      </c>
      <c r="I89" s="8">
        <v>1487.43</v>
      </c>
      <c r="K89" s="8">
        <v>0</v>
      </c>
      <c r="M89" s="8">
        <v>94913.55</v>
      </c>
      <c r="O89" s="8">
        <v>60300.02</v>
      </c>
      <c r="Q89" s="8">
        <v>174979.97</v>
      </c>
      <c r="S89" s="8">
        <v>0</v>
      </c>
      <c r="U89" s="8">
        <v>64025.69</v>
      </c>
      <c r="W89" s="8">
        <v>6143.45</v>
      </c>
      <c r="Y89" s="8">
        <v>0</v>
      </c>
      <c r="AA89" s="8">
        <v>29334.82</v>
      </c>
      <c r="AC89" s="8">
        <v>0</v>
      </c>
      <c r="AE89" s="8">
        <f t="shared" si="3"/>
        <v>817330.61999999976</v>
      </c>
      <c r="AF89" s="8"/>
      <c r="AG89" s="55">
        <v>49998.18</v>
      </c>
      <c r="AH89" s="55"/>
      <c r="AI89" s="55">
        <v>566698.30000000005</v>
      </c>
      <c r="AJ89" s="55"/>
      <c r="AK89" s="55">
        <v>616696.48</v>
      </c>
      <c r="AL89" s="8">
        <f>+'Gov Rev'!AI89-'Gov Exp'!AE89+'Gov Exp'!AI89-'Gov Exp'!AK89</f>
        <v>0</v>
      </c>
      <c r="AM89" s="6" t="str">
        <f>'Gov Rev'!A89</f>
        <v>Bridgeport</v>
      </c>
      <c r="AN89" s="6" t="str">
        <f t="shared" si="4"/>
        <v>Bridgeport</v>
      </c>
      <c r="AO89" s="6" t="b">
        <f t="shared" si="5"/>
        <v>1</v>
      </c>
    </row>
    <row r="90" spans="1:41" ht="12" customHeight="1" x14ac:dyDescent="0.2">
      <c r="A90" s="6" t="s">
        <v>295</v>
      </c>
      <c r="C90" s="6" t="s">
        <v>293</v>
      </c>
      <c r="E90" s="8">
        <v>2875911</v>
      </c>
      <c r="G90" s="8">
        <v>222764</v>
      </c>
      <c r="I90" s="8">
        <v>101901</v>
      </c>
      <c r="K90" s="8">
        <v>43181</v>
      </c>
      <c r="M90" s="8">
        <v>85126</v>
      </c>
      <c r="O90" s="8">
        <v>666445</v>
      </c>
      <c r="Q90" s="8">
        <v>1428793</v>
      </c>
      <c r="S90" s="8">
        <v>565875</v>
      </c>
      <c r="U90" s="8">
        <v>94998</v>
      </c>
      <c r="W90" s="8">
        <v>4125</v>
      </c>
      <c r="Y90" s="8">
        <v>40000</v>
      </c>
      <c r="AA90" s="8">
        <v>0</v>
      </c>
      <c r="AC90" s="8">
        <v>0</v>
      </c>
      <c r="AE90" s="8">
        <f t="shared" si="3"/>
        <v>6129119</v>
      </c>
      <c r="AF90" s="8"/>
      <c r="AG90" s="55"/>
      <c r="AH90" s="55"/>
      <c r="AI90" s="55"/>
      <c r="AJ90" s="55"/>
      <c r="AK90" s="55"/>
      <c r="AL90" s="8">
        <f>+'Gov Rev'!AI90-'Gov Exp'!AE90+'Gov Exp'!AI90-'Gov Exp'!AK90</f>
        <v>-261290</v>
      </c>
      <c r="AM90" s="6" t="str">
        <f>'Gov Rev'!A90</f>
        <v>Brooklyn Heights</v>
      </c>
      <c r="AN90" s="6" t="str">
        <f t="shared" si="4"/>
        <v>Brooklyn Heights</v>
      </c>
      <c r="AO90" s="6" t="b">
        <f t="shared" si="5"/>
        <v>1</v>
      </c>
    </row>
    <row r="91" spans="1:41" s="14" customFormat="1" ht="12" customHeight="1" x14ac:dyDescent="0.2">
      <c r="A91" s="6" t="s">
        <v>16</v>
      </c>
      <c r="B91" s="6"/>
      <c r="C91" s="6" t="s">
        <v>261</v>
      </c>
      <c r="D91" s="6"/>
      <c r="E91" s="8">
        <v>61761.19</v>
      </c>
      <c r="F91" s="8"/>
      <c r="G91" s="8">
        <v>3523.56</v>
      </c>
      <c r="H91" s="8"/>
      <c r="I91" s="8">
        <v>444.6</v>
      </c>
      <c r="J91" s="8"/>
      <c r="K91" s="8">
        <v>0</v>
      </c>
      <c r="L91" s="8"/>
      <c r="M91" s="8">
        <v>0</v>
      </c>
      <c r="N91" s="8"/>
      <c r="O91" s="8">
        <v>42048.79</v>
      </c>
      <c r="P91" s="8"/>
      <c r="Q91" s="8">
        <v>51519.89</v>
      </c>
      <c r="R91" s="8"/>
      <c r="S91" s="8">
        <v>43373.760000000002</v>
      </c>
      <c r="T91" s="8"/>
      <c r="U91" s="8">
        <v>6416.68</v>
      </c>
      <c r="V91" s="8"/>
      <c r="W91" s="8">
        <v>8116.66</v>
      </c>
      <c r="X91" s="8"/>
      <c r="Y91" s="8">
        <v>0</v>
      </c>
      <c r="Z91" s="8"/>
      <c r="AA91" s="8">
        <v>0</v>
      </c>
      <c r="AB91" s="8"/>
      <c r="AC91" s="8">
        <v>0</v>
      </c>
      <c r="AD91" s="8"/>
      <c r="AE91" s="8">
        <f t="shared" si="3"/>
        <v>217205.13000000003</v>
      </c>
      <c r="AF91" s="8"/>
      <c r="AG91" s="55">
        <v>-38914.58</v>
      </c>
      <c r="AH91" s="55"/>
      <c r="AI91" s="55">
        <v>146569.76</v>
      </c>
      <c r="AJ91" s="55"/>
      <c r="AK91" s="55">
        <v>107655.18</v>
      </c>
      <c r="AL91" s="8">
        <f>+'Gov Rev'!AI91-'Gov Exp'!AE91+'Gov Exp'!AI91-'Gov Exp'!AK91</f>
        <v>0</v>
      </c>
      <c r="AM91" s="6" t="str">
        <f>'Gov Rev'!A91</f>
        <v>Brookside</v>
      </c>
      <c r="AN91" s="6" t="str">
        <f t="shared" si="4"/>
        <v>Brookside</v>
      </c>
      <c r="AO91" s="6" t="b">
        <f t="shared" si="5"/>
        <v>1</v>
      </c>
    </row>
    <row r="92" spans="1:41" s="14" customFormat="1" ht="12" customHeight="1" x14ac:dyDescent="0.2">
      <c r="A92" s="6" t="s">
        <v>461</v>
      </c>
      <c r="B92" s="6"/>
      <c r="C92" s="6" t="s">
        <v>460</v>
      </c>
      <c r="D92" s="6"/>
      <c r="E92" s="8">
        <v>1203.26</v>
      </c>
      <c r="F92" s="8"/>
      <c r="G92" s="8">
        <v>13.2</v>
      </c>
      <c r="H92" s="8"/>
      <c r="I92" s="8">
        <v>0</v>
      </c>
      <c r="J92" s="8"/>
      <c r="K92" s="8">
        <v>0</v>
      </c>
      <c r="L92" s="8"/>
      <c r="M92" s="8">
        <v>1443.35</v>
      </c>
      <c r="N92" s="8"/>
      <c r="O92" s="8">
        <v>5401.79</v>
      </c>
      <c r="P92" s="8"/>
      <c r="Q92" s="8">
        <v>6524.02</v>
      </c>
      <c r="R92" s="8"/>
      <c r="S92" s="8">
        <v>0</v>
      </c>
      <c r="T92" s="8"/>
      <c r="U92" s="8">
        <v>0</v>
      </c>
      <c r="V92" s="8"/>
      <c r="W92" s="8">
        <v>0</v>
      </c>
      <c r="X92" s="8"/>
      <c r="Y92" s="8">
        <v>0</v>
      </c>
      <c r="Z92" s="8"/>
      <c r="AA92" s="8">
        <v>0</v>
      </c>
      <c r="AB92" s="8"/>
      <c r="AC92" s="8">
        <v>455.55</v>
      </c>
      <c r="AD92" s="8"/>
      <c r="AE92" s="8">
        <f t="shared" si="3"/>
        <v>15041.17</v>
      </c>
      <c r="AF92" s="8"/>
      <c r="AG92" s="55">
        <v>3674.06</v>
      </c>
      <c r="AH92" s="55"/>
      <c r="AI92" s="55">
        <v>85049.88</v>
      </c>
      <c r="AJ92" s="55"/>
      <c r="AK92" s="55">
        <v>88723.94</v>
      </c>
      <c r="AL92" s="8">
        <f>+'Gov Rev'!AI92-'Gov Exp'!AE92+'Gov Exp'!AI92-'Gov Exp'!AK92</f>
        <v>0</v>
      </c>
      <c r="AM92" s="6" t="str">
        <f>'Gov Rev'!A92</f>
        <v>Broughton</v>
      </c>
      <c r="AN92" s="6" t="str">
        <f t="shared" si="4"/>
        <v>Broughton</v>
      </c>
      <c r="AO92" s="6" t="b">
        <f t="shared" si="5"/>
        <v>1</v>
      </c>
    </row>
    <row r="93" spans="1:41" s="14" customFormat="1" ht="12" customHeight="1" x14ac:dyDescent="0.2">
      <c r="A93" s="6" t="s">
        <v>254</v>
      </c>
      <c r="B93" s="6"/>
      <c r="C93" s="6" t="s">
        <v>253</v>
      </c>
      <c r="D93" s="6"/>
      <c r="E93" s="8">
        <v>21840</v>
      </c>
      <c r="F93" s="8"/>
      <c r="G93" s="8">
        <v>0</v>
      </c>
      <c r="H93" s="8"/>
      <c r="I93" s="8">
        <v>0</v>
      </c>
      <c r="J93" s="8"/>
      <c r="K93" s="8">
        <v>0</v>
      </c>
      <c r="L93" s="8"/>
      <c r="M93" s="8">
        <v>8197</v>
      </c>
      <c r="N93" s="8"/>
      <c r="O93" s="8">
        <v>11003</v>
      </c>
      <c r="P93" s="8"/>
      <c r="Q93" s="8">
        <v>72868</v>
      </c>
      <c r="R93" s="8"/>
      <c r="S93" s="8">
        <v>23364</v>
      </c>
      <c r="T93" s="8"/>
      <c r="U93" s="8">
        <v>0</v>
      </c>
      <c r="V93" s="8"/>
      <c r="W93" s="8">
        <v>0</v>
      </c>
      <c r="X93" s="8"/>
      <c r="Y93" s="8">
        <v>0</v>
      </c>
      <c r="Z93" s="8"/>
      <c r="AA93" s="8">
        <v>0</v>
      </c>
      <c r="AB93" s="8"/>
      <c r="AC93" s="8">
        <v>0</v>
      </c>
      <c r="AD93" s="8"/>
      <c r="AE93" s="8">
        <f t="shared" si="3"/>
        <v>137272</v>
      </c>
      <c r="AF93" s="8"/>
      <c r="AG93" s="55"/>
      <c r="AH93" s="55"/>
      <c r="AI93" s="55"/>
      <c r="AJ93" s="55"/>
      <c r="AK93" s="55"/>
      <c r="AL93" s="8">
        <f>+'Gov Rev'!AI93-'Gov Exp'!AE93+'Gov Exp'!AI93-'Gov Exp'!AK93</f>
        <v>-21742</v>
      </c>
      <c r="AM93" s="6" t="str">
        <f>'Gov Rev'!A93</f>
        <v>Buchtel</v>
      </c>
      <c r="AN93" s="6" t="str">
        <f t="shared" si="4"/>
        <v>Buchtel</v>
      </c>
      <c r="AO93" s="6" t="b">
        <f t="shared" si="5"/>
        <v>1</v>
      </c>
    </row>
    <row r="94" spans="1:41" s="14" customFormat="1" ht="12" customHeight="1" x14ac:dyDescent="0.2">
      <c r="A94" s="6" t="s">
        <v>122</v>
      </c>
      <c r="B94" s="6"/>
      <c r="C94" s="6" t="s">
        <v>408</v>
      </c>
      <c r="D94" s="6"/>
      <c r="E94" s="8">
        <v>511329.08</v>
      </c>
      <c r="F94" s="8"/>
      <c r="G94" s="8">
        <v>9446.26</v>
      </c>
      <c r="H94" s="8"/>
      <c r="I94" s="8">
        <v>3797.65</v>
      </c>
      <c r="J94" s="8"/>
      <c r="K94" s="8">
        <v>63863.17</v>
      </c>
      <c r="L94" s="8"/>
      <c r="M94" s="8">
        <v>1020.62</v>
      </c>
      <c r="N94" s="8"/>
      <c r="O94" s="8">
        <v>172330.95</v>
      </c>
      <c r="P94" s="8"/>
      <c r="Q94" s="8">
        <v>163181.10999999999</v>
      </c>
      <c r="R94" s="8"/>
      <c r="S94" s="8">
        <v>39260.28</v>
      </c>
      <c r="T94" s="8"/>
      <c r="U94" s="8">
        <v>33402.42</v>
      </c>
      <c r="V94" s="8"/>
      <c r="W94" s="8">
        <v>1224.6300000000001</v>
      </c>
      <c r="X94" s="8"/>
      <c r="Y94" s="8">
        <v>119639</v>
      </c>
      <c r="Z94" s="8"/>
      <c r="AA94" s="8">
        <v>0</v>
      </c>
      <c r="AB94" s="8"/>
      <c r="AC94" s="8">
        <v>0</v>
      </c>
      <c r="AD94" s="8"/>
      <c r="AE94" s="8">
        <f t="shared" si="3"/>
        <v>1118495.17</v>
      </c>
      <c r="AF94" s="8"/>
      <c r="AG94" s="55">
        <v>-70031.08</v>
      </c>
      <c r="AH94" s="55"/>
      <c r="AI94" s="55">
        <v>630434.28</v>
      </c>
      <c r="AJ94" s="55"/>
      <c r="AK94" s="55">
        <v>560403.19999999995</v>
      </c>
      <c r="AL94" s="8">
        <f>+'Gov Rev'!AI94-'Gov Exp'!AE94+'Gov Exp'!AI94-'Gov Exp'!AK94</f>
        <v>0</v>
      </c>
      <c r="AM94" s="6" t="str">
        <f>'Gov Rev'!A94</f>
        <v>Buckeye Lake</v>
      </c>
      <c r="AN94" s="6" t="str">
        <f t="shared" si="4"/>
        <v>Buckeye Lake</v>
      </c>
      <c r="AO94" s="6" t="b">
        <f t="shared" si="5"/>
        <v>1</v>
      </c>
    </row>
    <row r="95" spans="1:41" s="14" customFormat="1" ht="12" customHeight="1" x14ac:dyDescent="0.2">
      <c r="A95" s="6" t="s">
        <v>11</v>
      </c>
      <c r="B95" s="6"/>
      <c r="C95" s="6" t="s">
        <v>257</v>
      </c>
      <c r="D95" s="6"/>
      <c r="E95" s="8">
        <v>19591.09</v>
      </c>
      <c r="F95" s="8"/>
      <c r="G95" s="8">
        <v>0</v>
      </c>
      <c r="H95" s="8"/>
      <c r="I95" s="8">
        <v>9205.7900000000009</v>
      </c>
      <c r="J95" s="8"/>
      <c r="K95" s="8">
        <v>0</v>
      </c>
      <c r="L95" s="8"/>
      <c r="M95" s="8">
        <v>374708.93</v>
      </c>
      <c r="N95" s="8"/>
      <c r="O95" s="8">
        <v>25430.81</v>
      </c>
      <c r="P95" s="8"/>
      <c r="Q95" s="8">
        <v>42047.23</v>
      </c>
      <c r="R95" s="8"/>
      <c r="S95" s="8">
        <v>0</v>
      </c>
      <c r="T95" s="8"/>
      <c r="U95" s="8">
        <v>0</v>
      </c>
      <c r="V95" s="8"/>
      <c r="W95" s="8">
        <v>0</v>
      </c>
      <c r="X95" s="8"/>
      <c r="Y95" s="8">
        <v>0</v>
      </c>
      <c r="Z95" s="8"/>
      <c r="AA95" s="8">
        <v>0</v>
      </c>
      <c r="AB95" s="8"/>
      <c r="AC95" s="8">
        <v>0</v>
      </c>
      <c r="AD95" s="8"/>
      <c r="AE95" s="8">
        <f t="shared" si="3"/>
        <v>470983.85</v>
      </c>
      <c r="AF95" s="8"/>
      <c r="AG95" s="55">
        <v>-37867.839999999997</v>
      </c>
      <c r="AH95" s="55"/>
      <c r="AI95" s="55">
        <v>81194.84</v>
      </c>
      <c r="AJ95" s="55"/>
      <c r="AK95" s="55">
        <v>43327</v>
      </c>
      <c r="AL95" s="8">
        <f>+'Gov Rev'!AI95-'Gov Exp'!AE95+'Gov Exp'!AI95-'Gov Exp'!AK95</f>
        <v>8.7311491370201111E-11</v>
      </c>
      <c r="AM95" s="6" t="str">
        <f>'Gov Rev'!A95</f>
        <v>Buckland</v>
      </c>
      <c r="AN95" s="6" t="str">
        <f t="shared" si="4"/>
        <v>Buckland</v>
      </c>
      <c r="AO95" s="6" t="b">
        <f t="shared" si="5"/>
        <v>1</v>
      </c>
    </row>
    <row r="96" spans="1:41" s="14" customFormat="1" ht="12" customHeight="1" x14ac:dyDescent="0.2">
      <c r="A96" s="6" t="s">
        <v>231</v>
      </c>
      <c r="B96" s="6"/>
      <c r="C96" s="6" t="s">
        <v>547</v>
      </c>
      <c r="D96" s="6"/>
      <c r="E96" s="8">
        <v>20468.169999999998</v>
      </c>
      <c r="F96" s="8"/>
      <c r="G96" s="8">
        <v>0</v>
      </c>
      <c r="H96" s="8"/>
      <c r="I96" s="8">
        <v>6492.54</v>
      </c>
      <c r="J96" s="8"/>
      <c r="K96" s="8">
        <v>2078.16</v>
      </c>
      <c r="L96" s="8"/>
      <c r="M96" s="8">
        <v>5079.75</v>
      </c>
      <c r="N96" s="8"/>
      <c r="O96" s="8">
        <v>12330.69</v>
      </c>
      <c r="P96" s="8"/>
      <c r="Q96" s="8">
        <v>28396.39</v>
      </c>
      <c r="R96" s="8"/>
      <c r="S96" s="8">
        <v>0</v>
      </c>
      <c r="T96" s="8"/>
      <c r="U96" s="8">
        <v>15000</v>
      </c>
      <c r="V96" s="8"/>
      <c r="W96" s="8">
        <v>0</v>
      </c>
      <c r="X96" s="8"/>
      <c r="Y96" s="8">
        <v>0</v>
      </c>
      <c r="Z96" s="8"/>
      <c r="AA96" s="8">
        <v>0</v>
      </c>
      <c r="AB96" s="8"/>
      <c r="AC96" s="8">
        <v>620.76</v>
      </c>
      <c r="AD96" s="8"/>
      <c r="AE96" s="8">
        <f t="shared" si="3"/>
        <v>90466.459999999992</v>
      </c>
      <c r="AF96" s="8"/>
      <c r="AG96" s="55">
        <v>26348.34</v>
      </c>
      <c r="AH96" s="55"/>
      <c r="AI96" s="55">
        <v>228389.1</v>
      </c>
      <c r="AJ96" s="55"/>
      <c r="AK96" s="55">
        <v>254737.44</v>
      </c>
      <c r="AL96" s="8">
        <f>+'Gov Rev'!AI96-'Gov Exp'!AE96+'Gov Exp'!AI96-'Gov Exp'!AK96</f>
        <v>0</v>
      </c>
      <c r="AM96" s="6" t="str">
        <f>'Gov Rev'!A96</f>
        <v>Burbank</v>
      </c>
      <c r="AN96" s="6" t="str">
        <f t="shared" si="4"/>
        <v>Burbank</v>
      </c>
      <c r="AO96" s="6" t="b">
        <f t="shared" si="5"/>
        <v>1</v>
      </c>
    </row>
    <row r="97" spans="1:41" s="14" customFormat="1" ht="12" customHeight="1" x14ac:dyDescent="0.2">
      <c r="A97" s="6" t="s">
        <v>486</v>
      </c>
      <c r="B97" s="6"/>
      <c r="C97" s="6" t="s">
        <v>487</v>
      </c>
      <c r="D97" s="6"/>
      <c r="E97" s="8">
        <v>3946.49</v>
      </c>
      <c r="F97" s="8"/>
      <c r="G97" s="8">
        <v>0</v>
      </c>
      <c r="H97" s="8"/>
      <c r="I97" s="8">
        <v>4650</v>
      </c>
      <c r="J97" s="8"/>
      <c r="K97" s="8">
        <v>0</v>
      </c>
      <c r="L97" s="8"/>
      <c r="M97" s="8">
        <v>8378.9</v>
      </c>
      <c r="N97" s="8"/>
      <c r="O97" s="8">
        <v>5227.5</v>
      </c>
      <c r="P97" s="8"/>
      <c r="Q97" s="8">
        <v>13270.23</v>
      </c>
      <c r="R97" s="8"/>
      <c r="S97" s="8">
        <v>0</v>
      </c>
      <c r="T97" s="8"/>
      <c r="U97" s="8">
        <v>0</v>
      </c>
      <c r="V97" s="8"/>
      <c r="W97" s="8">
        <v>0</v>
      </c>
      <c r="X97" s="8"/>
      <c r="Y97" s="8">
        <v>0</v>
      </c>
      <c r="Z97" s="8"/>
      <c r="AA97" s="8">
        <v>0</v>
      </c>
      <c r="AB97" s="8"/>
      <c r="AC97" s="8">
        <v>4500</v>
      </c>
      <c r="AD97" s="8"/>
      <c r="AE97" s="8">
        <f t="shared" si="3"/>
        <v>39973.119999999995</v>
      </c>
      <c r="AF97" s="8"/>
      <c r="AG97" s="55">
        <v>1819.96</v>
      </c>
      <c r="AH97" s="55"/>
      <c r="AI97" s="55">
        <v>93165.5</v>
      </c>
      <c r="AJ97" s="55"/>
      <c r="AK97" s="55">
        <v>94985.46</v>
      </c>
      <c r="AL97" s="8">
        <f>+'Gov Rev'!AI97-'Gov Exp'!AE97+'Gov Exp'!AI97-'Gov Exp'!AK97</f>
        <v>0</v>
      </c>
      <c r="AM97" s="6" t="str">
        <f>'Gov Rev'!A97</f>
        <v>Burgoon</v>
      </c>
      <c r="AN97" s="6" t="str">
        <f t="shared" si="4"/>
        <v>Burgoon</v>
      </c>
      <c r="AO97" s="6" t="b">
        <f t="shared" si="5"/>
        <v>1</v>
      </c>
    </row>
    <row r="98" spans="1:41" s="14" customFormat="1" ht="12" customHeight="1" x14ac:dyDescent="0.2">
      <c r="A98" s="6" t="s">
        <v>432</v>
      </c>
      <c r="B98" s="6"/>
      <c r="C98" s="6" t="s">
        <v>647</v>
      </c>
      <c r="D98" s="6"/>
      <c r="E98" s="8">
        <v>26072</v>
      </c>
      <c r="F98" s="8"/>
      <c r="G98" s="8">
        <v>1130</v>
      </c>
      <c r="H98" s="8"/>
      <c r="I98" s="8">
        <v>4866</v>
      </c>
      <c r="J98" s="8"/>
      <c r="K98" s="8">
        <v>0</v>
      </c>
      <c r="L98" s="8"/>
      <c r="M98" s="8">
        <v>0</v>
      </c>
      <c r="N98" s="8"/>
      <c r="O98" s="8">
        <v>8250</v>
      </c>
      <c r="P98" s="8"/>
      <c r="Q98" s="8">
        <v>15460</v>
      </c>
      <c r="R98" s="8"/>
      <c r="S98" s="8">
        <v>0</v>
      </c>
      <c r="T98" s="8"/>
      <c r="U98" s="8">
        <v>26414</v>
      </c>
      <c r="V98" s="8"/>
      <c r="W98" s="8">
        <v>0</v>
      </c>
      <c r="X98" s="8"/>
      <c r="Y98" s="8">
        <v>0</v>
      </c>
      <c r="Z98" s="8"/>
      <c r="AA98" s="8">
        <v>0</v>
      </c>
      <c r="AB98" s="8"/>
      <c r="AC98" s="8">
        <v>0</v>
      </c>
      <c r="AD98" s="8"/>
      <c r="AE98" s="8">
        <f t="shared" si="3"/>
        <v>82192</v>
      </c>
      <c r="AF98" s="8"/>
      <c r="AG98" s="55"/>
      <c r="AH98" s="55"/>
      <c r="AI98" s="55"/>
      <c r="AJ98" s="55"/>
      <c r="AK98" s="55"/>
      <c r="AL98" s="8">
        <f>+'Gov Rev'!AI98-'Gov Exp'!AE98+'Gov Exp'!AI98-'Gov Exp'!AK98</f>
        <v>52686</v>
      </c>
      <c r="AM98" s="6" t="str">
        <f>'Gov Rev'!A98</f>
        <v>Burkettsville</v>
      </c>
      <c r="AN98" s="6" t="str">
        <f t="shared" si="4"/>
        <v>Burkettsville</v>
      </c>
      <c r="AO98" s="6" t="b">
        <f t="shared" si="5"/>
        <v>1</v>
      </c>
    </row>
    <row r="99" spans="1:41" s="14" customFormat="1" ht="12" customHeight="1" x14ac:dyDescent="0.2">
      <c r="A99" s="6" t="s">
        <v>634</v>
      </c>
      <c r="B99" s="6"/>
      <c r="C99" s="6" t="s">
        <v>340</v>
      </c>
      <c r="D99" s="6"/>
      <c r="E99" s="8">
        <v>383241</v>
      </c>
      <c r="F99" s="8"/>
      <c r="G99" s="8">
        <v>19603</v>
      </c>
      <c r="H99" s="8"/>
      <c r="I99" s="8">
        <v>51645</v>
      </c>
      <c r="J99" s="8"/>
      <c r="K99" s="8">
        <v>43057</v>
      </c>
      <c r="L99" s="8"/>
      <c r="M99" s="8">
        <v>0</v>
      </c>
      <c r="N99" s="8"/>
      <c r="O99" s="8">
        <v>210169</v>
      </c>
      <c r="P99" s="8"/>
      <c r="Q99" s="8">
        <v>212226</v>
      </c>
      <c r="R99" s="8"/>
      <c r="S99" s="8">
        <v>398909</v>
      </c>
      <c r="T99" s="8"/>
      <c r="U99" s="8">
        <v>1980</v>
      </c>
      <c r="V99" s="8"/>
      <c r="W99" s="8">
        <v>0</v>
      </c>
      <c r="X99" s="8"/>
      <c r="Y99" s="8">
        <v>397665</v>
      </c>
      <c r="Z99" s="8"/>
      <c r="AA99" s="8">
        <v>389076</v>
      </c>
      <c r="AB99" s="8"/>
      <c r="AC99" s="8">
        <v>30545</v>
      </c>
      <c r="AD99" s="8"/>
      <c r="AE99" s="8">
        <f t="shared" si="3"/>
        <v>2138116</v>
      </c>
      <c r="AF99" s="8"/>
      <c r="AG99" s="55"/>
      <c r="AH99" s="55"/>
      <c r="AI99" s="55"/>
      <c r="AJ99" s="55"/>
      <c r="AK99" s="55"/>
      <c r="AL99" s="8">
        <f>+'Gov Rev'!AI99-'Gov Exp'!AE99+'Gov Exp'!AI99-'Gov Exp'!AK99</f>
        <v>-109157</v>
      </c>
      <c r="AM99" s="6" t="str">
        <f>'Gov Rev'!A99</f>
        <v>Burton</v>
      </c>
      <c r="AN99" s="6" t="str">
        <f t="shared" si="4"/>
        <v>Burton</v>
      </c>
      <c r="AO99" s="6" t="b">
        <f t="shared" si="5"/>
        <v>1</v>
      </c>
    </row>
    <row r="100" spans="1:41" s="14" customFormat="1" ht="12" customHeight="1" x14ac:dyDescent="0.2">
      <c r="A100" s="6" t="s">
        <v>480</v>
      </c>
      <c r="B100" s="6"/>
      <c r="C100" s="6" t="s">
        <v>694</v>
      </c>
      <c r="D100" s="6"/>
      <c r="E100" s="8">
        <v>69320</v>
      </c>
      <c r="F100" s="8"/>
      <c r="G100" s="8">
        <v>0</v>
      </c>
      <c r="H100" s="8"/>
      <c r="I100" s="8">
        <v>0</v>
      </c>
      <c r="J100" s="8"/>
      <c r="K100" s="8">
        <v>3845</v>
      </c>
      <c r="L100" s="8"/>
      <c r="M100" s="8">
        <v>330539</v>
      </c>
      <c r="N100" s="8"/>
      <c r="O100" s="8">
        <v>86028</v>
      </c>
      <c r="P100" s="8"/>
      <c r="Q100" s="8">
        <v>17346</v>
      </c>
      <c r="R100" s="8"/>
      <c r="S100" s="8">
        <v>57574</v>
      </c>
      <c r="T100" s="8"/>
      <c r="U100" s="8">
        <v>0</v>
      </c>
      <c r="V100" s="8"/>
      <c r="W100" s="8">
        <v>0</v>
      </c>
      <c r="X100" s="8"/>
      <c r="Y100" s="8">
        <v>0</v>
      </c>
      <c r="Z100" s="8"/>
      <c r="AA100" s="8">
        <v>0</v>
      </c>
      <c r="AB100" s="8"/>
      <c r="AC100" s="8">
        <v>0</v>
      </c>
      <c r="AD100" s="8"/>
      <c r="AE100" s="8">
        <f t="shared" si="3"/>
        <v>564652</v>
      </c>
      <c r="AF100" s="8"/>
      <c r="AG100" s="55"/>
      <c r="AH100" s="55"/>
      <c r="AI100" s="55"/>
      <c r="AJ100" s="55"/>
      <c r="AK100" s="55"/>
      <c r="AL100" s="8">
        <f>+'Gov Rev'!AI100-'Gov Exp'!AE100+'Gov Exp'!AI100-'Gov Exp'!AK100</f>
        <v>-12040</v>
      </c>
      <c r="AM100" s="6" t="str">
        <f>'Gov Rev'!A100</f>
        <v>Butler</v>
      </c>
      <c r="AN100" s="6" t="str">
        <f t="shared" si="4"/>
        <v>Butler</v>
      </c>
      <c r="AO100" s="6" t="b">
        <f t="shared" si="5"/>
        <v>1</v>
      </c>
    </row>
    <row r="101" spans="1:41" s="14" customFormat="1" ht="12" customHeight="1" x14ac:dyDescent="0.2">
      <c r="A101" s="6" t="s">
        <v>81</v>
      </c>
      <c r="B101" s="6"/>
      <c r="C101" s="6" t="s">
        <v>349</v>
      </c>
      <c r="D101" s="6"/>
      <c r="E101" s="8">
        <v>202357.11</v>
      </c>
      <c r="F101" s="8"/>
      <c r="G101" s="8">
        <v>0</v>
      </c>
      <c r="H101" s="8"/>
      <c r="I101" s="8">
        <v>23863.95</v>
      </c>
      <c r="J101" s="8"/>
      <c r="K101" s="8">
        <v>0</v>
      </c>
      <c r="L101" s="8"/>
      <c r="M101" s="8">
        <v>54304.46</v>
      </c>
      <c r="N101" s="8"/>
      <c r="O101" s="8">
        <v>132310.65</v>
      </c>
      <c r="P101" s="8"/>
      <c r="Q101" s="8">
        <v>164104.93</v>
      </c>
      <c r="R101" s="8"/>
      <c r="S101" s="8">
        <v>222021.34</v>
      </c>
      <c r="T101" s="8"/>
      <c r="U101" s="8">
        <v>0</v>
      </c>
      <c r="V101" s="8"/>
      <c r="W101" s="8">
        <v>0</v>
      </c>
      <c r="X101" s="8"/>
      <c r="Y101" s="8">
        <v>86000</v>
      </c>
      <c r="Z101" s="8"/>
      <c r="AA101" s="8">
        <v>0</v>
      </c>
      <c r="AB101" s="8"/>
      <c r="AC101" s="8">
        <v>0</v>
      </c>
      <c r="AD101" s="8"/>
      <c r="AE101" s="8">
        <f t="shared" si="3"/>
        <v>884962.44000000006</v>
      </c>
      <c r="AF101" s="8"/>
      <c r="AG101" s="55">
        <v>374.09</v>
      </c>
      <c r="AH101" s="55"/>
      <c r="AI101" s="55">
        <v>280901.93</v>
      </c>
      <c r="AJ101" s="55"/>
      <c r="AK101" s="55">
        <v>281276.02</v>
      </c>
      <c r="AL101" s="8">
        <f>+'Gov Rev'!AI101-'Gov Exp'!AE101+'Gov Exp'!AI101-'Gov Exp'!AK101</f>
        <v>0</v>
      </c>
      <c r="AM101" s="6" t="str">
        <f>'Gov Rev'!A101</f>
        <v>Byesville</v>
      </c>
      <c r="AN101" s="6" t="str">
        <f t="shared" si="4"/>
        <v>Byesville</v>
      </c>
      <c r="AO101" s="6" t="b">
        <f t="shared" si="5"/>
        <v>1</v>
      </c>
    </row>
    <row r="102" spans="1:41" s="14" customFormat="1" ht="12" customHeight="1" x14ac:dyDescent="0.2">
      <c r="A102" s="6" t="s">
        <v>95</v>
      </c>
      <c r="B102" s="6"/>
      <c r="C102" s="6" t="s">
        <v>373</v>
      </c>
      <c r="D102" s="6"/>
      <c r="E102" s="8">
        <v>560552</v>
      </c>
      <c r="F102" s="8"/>
      <c r="G102" s="8">
        <v>14995</v>
      </c>
      <c r="H102" s="8"/>
      <c r="I102" s="8">
        <v>310861</v>
      </c>
      <c r="J102" s="8"/>
      <c r="K102" s="8">
        <v>14564</v>
      </c>
      <c r="L102" s="8"/>
      <c r="M102" s="8">
        <v>80639</v>
      </c>
      <c r="N102" s="8"/>
      <c r="O102" s="8">
        <v>360154</v>
      </c>
      <c r="P102" s="8"/>
      <c r="Q102" s="8">
        <v>395748</v>
      </c>
      <c r="R102" s="8"/>
      <c r="S102" s="8">
        <v>61406</v>
      </c>
      <c r="T102" s="8"/>
      <c r="U102" s="8">
        <v>14562</v>
      </c>
      <c r="V102" s="8"/>
      <c r="W102" s="8">
        <v>3902</v>
      </c>
      <c r="X102" s="8"/>
      <c r="Y102" s="8">
        <v>0</v>
      </c>
      <c r="Z102" s="8"/>
      <c r="AA102" s="8">
        <v>0</v>
      </c>
      <c r="AB102" s="8"/>
      <c r="AC102" s="8">
        <v>0</v>
      </c>
      <c r="AD102" s="8"/>
      <c r="AE102" s="8">
        <f t="shared" si="3"/>
        <v>1817383</v>
      </c>
      <c r="AF102" s="8"/>
      <c r="AG102" s="55"/>
      <c r="AH102" s="55"/>
      <c r="AI102" s="55"/>
      <c r="AJ102" s="55"/>
      <c r="AK102" s="55"/>
      <c r="AL102" s="8">
        <f>+'Gov Rev'!AI102-'Gov Exp'!AE102+'Gov Exp'!AI102-'Gov Exp'!AK102</f>
        <v>302978</v>
      </c>
      <c r="AM102" s="6" t="str">
        <f>'Gov Rev'!A102</f>
        <v>Cadiz</v>
      </c>
      <c r="AN102" s="6" t="str">
        <f t="shared" si="4"/>
        <v>Cadiz</v>
      </c>
      <c r="AO102" s="6" t="b">
        <f t="shared" si="5"/>
        <v>1</v>
      </c>
    </row>
    <row r="103" spans="1:41" s="14" customFormat="1" ht="12" customHeight="1" x14ac:dyDescent="0.2">
      <c r="A103" s="6" t="s">
        <v>95</v>
      </c>
      <c r="B103" s="6"/>
      <c r="C103" s="6" t="s">
        <v>373</v>
      </c>
      <c r="D103" s="6"/>
      <c r="E103" s="8">
        <v>560552.42000000004</v>
      </c>
      <c r="F103" s="8"/>
      <c r="G103" s="8">
        <v>14995.09</v>
      </c>
      <c r="H103" s="8"/>
      <c r="I103" s="8">
        <v>310861.08</v>
      </c>
      <c r="J103" s="8"/>
      <c r="K103" s="8">
        <v>14564.35</v>
      </c>
      <c r="L103" s="8"/>
      <c r="M103" s="8">
        <v>80639.05</v>
      </c>
      <c r="N103" s="8"/>
      <c r="O103" s="8">
        <v>360153.55</v>
      </c>
      <c r="P103" s="8"/>
      <c r="Q103" s="8">
        <v>395747.93</v>
      </c>
      <c r="R103" s="8"/>
      <c r="S103" s="8">
        <v>61405.7</v>
      </c>
      <c r="T103" s="8"/>
      <c r="U103" s="8">
        <v>14562.14</v>
      </c>
      <c r="V103" s="8"/>
      <c r="W103" s="8">
        <v>3901.95</v>
      </c>
      <c r="X103" s="8"/>
      <c r="Y103" s="8">
        <v>0</v>
      </c>
      <c r="Z103" s="8"/>
      <c r="AA103" s="8">
        <v>0</v>
      </c>
      <c r="AB103" s="8"/>
      <c r="AC103" s="8">
        <v>0</v>
      </c>
      <c r="AD103" s="8"/>
      <c r="AE103" s="8">
        <f t="shared" si="3"/>
        <v>1817383.2599999998</v>
      </c>
      <c r="AF103" s="8"/>
      <c r="AG103" s="55">
        <v>302978.73</v>
      </c>
      <c r="AH103" s="55"/>
      <c r="AI103" s="55">
        <v>1657721.48</v>
      </c>
      <c r="AJ103" s="55"/>
      <c r="AK103" s="55">
        <v>1960700.21</v>
      </c>
      <c r="AL103" s="8">
        <f>+'Gov Rev'!AI103-'Gov Exp'!AE103+'Gov Exp'!AI103-'Gov Exp'!AK103</f>
        <v>0</v>
      </c>
      <c r="AM103" s="6" t="str">
        <f>'Gov Rev'!A103</f>
        <v>Cadiz</v>
      </c>
      <c r="AN103" s="6" t="str">
        <f t="shared" si="4"/>
        <v>Cadiz</v>
      </c>
      <c r="AO103" s="6" t="b">
        <f t="shared" si="5"/>
        <v>1</v>
      </c>
    </row>
    <row r="104" spans="1:41" s="14" customFormat="1" ht="12" customHeight="1" x14ac:dyDescent="0.2">
      <c r="A104" s="6" t="s">
        <v>650</v>
      </c>
      <c r="B104" s="6"/>
      <c r="C104" s="6" t="s">
        <v>651</v>
      </c>
      <c r="D104" s="6"/>
      <c r="E104" s="8">
        <v>15224.21</v>
      </c>
      <c r="F104" s="8"/>
      <c r="G104" s="8">
        <v>600.20000000000005</v>
      </c>
      <c r="H104" s="8"/>
      <c r="I104" s="8">
        <v>8790.42</v>
      </c>
      <c r="J104" s="8"/>
      <c r="K104" s="8">
        <v>3000.83</v>
      </c>
      <c r="L104" s="8"/>
      <c r="M104" s="8">
        <v>0</v>
      </c>
      <c r="N104" s="8"/>
      <c r="O104" s="8">
        <v>42851.81</v>
      </c>
      <c r="P104" s="8"/>
      <c r="Q104" s="8">
        <v>79204.990000000005</v>
      </c>
      <c r="R104" s="8"/>
      <c r="S104" s="8">
        <v>28471.69</v>
      </c>
      <c r="T104" s="8"/>
      <c r="U104" s="8">
        <v>23700</v>
      </c>
      <c r="V104" s="8"/>
      <c r="W104" s="8">
        <v>26918.41</v>
      </c>
      <c r="X104" s="8"/>
      <c r="Y104" s="8">
        <v>0</v>
      </c>
      <c r="Z104" s="8"/>
      <c r="AA104" s="8">
        <v>0</v>
      </c>
      <c r="AB104" s="8"/>
      <c r="AC104" s="8">
        <v>0</v>
      </c>
      <c r="AD104" s="8"/>
      <c r="AE104" s="8">
        <f t="shared" si="3"/>
        <v>228762.56000000003</v>
      </c>
      <c r="AF104" s="8"/>
      <c r="AG104" s="55">
        <v>-16603.78</v>
      </c>
      <c r="AH104" s="55"/>
      <c r="AI104" s="55">
        <v>238600.04</v>
      </c>
      <c r="AJ104" s="55"/>
      <c r="AK104" s="55">
        <v>221996.26</v>
      </c>
      <c r="AL104" s="8">
        <f>+'Gov Rev'!AI104-'Gov Exp'!AE104+'Gov Exp'!AI104-'Gov Exp'!AK104</f>
        <v>0</v>
      </c>
      <c r="AM104" s="6" t="str">
        <f>'Gov Rev'!A104</f>
        <v>Cairo</v>
      </c>
      <c r="AN104" s="6" t="str">
        <f t="shared" si="4"/>
        <v>Cairo</v>
      </c>
      <c r="AO104" s="6" t="b">
        <f t="shared" si="5"/>
        <v>1</v>
      </c>
    </row>
    <row r="105" spans="1:41" s="14" customFormat="1" ht="12" customHeight="1" x14ac:dyDescent="0.2">
      <c r="A105" s="6" t="s">
        <v>163</v>
      </c>
      <c r="B105" s="6"/>
      <c r="C105" s="6" t="s">
        <v>455</v>
      </c>
      <c r="D105" s="6"/>
      <c r="E105" s="8">
        <v>49262.58</v>
      </c>
      <c r="F105" s="8"/>
      <c r="G105" s="8">
        <v>2554.94</v>
      </c>
      <c r="H105" s="8"/>
      <c r="I105" s="8">
        <v>0</v>
      </c>
      <c r="J105" s="8"/>
      <c r="K105" s="8">
        <v>1842.49</v>
      </c>
      <c r="L105" s="8"/>
      <c r="M105" s="8">
        <v>0</v>
      </c>
      <c r="N105" s="8"/>
      <c r="O105" s="8">
        <v>186458.64</v>
      </c>
      <c r="P105" s="8"/>
      <c r="Q105" s="8">
        <v>101732.88</v>
      </c>
      <c r="R105" s="8"/>
      <c r="S105" s="8">
        <v>0</v>
      </c>
      <c r="T105" s="8"/>
      <c r="U105" s="8">
        <v>0</v>
      </c>
      <c r="V105" s="8"/>
      <c r="W105" s="8">
        <v>0</v>
      </c>
      <c r="X105" s="8"/>
      <c r="Y105" s="8">
        <v>0</v>
      </c>
      <c r="Z105" s="8"/>
      <c r="AA105" s="8">
        <v>0</v>
      </c>
      <c r="AB105" s="8"/>
      <c r="AC105" s="8">
        <v>2875.34</v>
      </c>
      <c r="AD105" s="8"/>
      <c r="AE105" s="8">
        <f t="shared" si="3"/>
        <v>344726.87000000005</v>
      </c>
      <c r="AF105" s="8"/>
      <c r="AG105" s="55">
        <v>748859.88</v>
      </c>
      <c r="AH105" s="55"/>
      <c r="AI105" s="55">
        <v>1721776.85</v>
      </c>
      <c r="AJ105" s="55"/>
      <c r="AK105" s="55">
        <v>2470636.73</v>
      </c>
      <c r="AL105" s="8">
        <f>+'Gov Rev'!AI105-'Gov Exp'!AE105+'Gov Exp'!AI105-'Gov Exp'!AK105</f>
        <v>0</v>
      </c>
      <c r="AM105" s="6" t="str">
        <f>'Gov Rev'!A105</f>
        <v>Caldwell</v>
      </c>
      <c r="AN105" s="6" t="str">
        <f t="shared" si="4"/>
        <v>Caldwell</v>
      </c>
      <c r="AO105" s="6" t="b">
        <f t="shared" si="5"/>
        <v>1</v>
      </c>
    </row>
    <row r="106" spans="1:41" s="14" customFormat="1" ht="12" customHeight="1" x14ac:dyDescent="0.2">
      <c r="A106" s="6" t="s">
        <v>137</v>
      </c>
      <c r="B106" s="6"/>
      <c r="C106" s="6" t="s">
        <v>430</v>
      </c>
      <c r="D106" s="6"/>
      <c r="E106" s="8">
        <v>19420.490000000002</v>
      </c>
      <c r="F106" s="8"/>
      <c r="G106" s="8">
        <v>3512.5</v>
      </c>
      <c r="H106" s="8"/>
      <c r="I106" s="8">
        <v>14023.54</v>
      </c>
      <c r="J106" s="8"/>
      <c r="K106" s="8">
        <v>2163.5700000000002</v>
      </c>
      <c r="L106" s="8"/>
      <c r="M106" s="8">
        <v>37.299999999999997</v>
      </c>
      <c r="N106" s="8"/>
      <c r="O106" s="8">
        <v>12287.86</v>
      </c>
      <c r="P106" s="8"/>
      <c r="Q106" s="8">
        <v>49972.08</v>
      </c>
      <c r="R106" s="8"/>
      <c r="S106" s="8">
        <v>0</v>
      </c>
      <c r="T106" s="8"/>
      <c r="U106" s="8">
        <v>834.67</v>
      </c>
      <c r="V106" s="8"/>
      <c r="W106" s="8">
        <v>0</v>
      </c>
      <c r="X106" s="8"/>
      <c r="Y106" s="8">
        <v>131.69999999999999</v>
      </c>
      <c r="Z106" s="8"/>
      <c r="AA106" s="8">
        <v>0</v>
      </c>
      <c r="AB106" s="8"/>
      <c r="AC106" s="8">
        <v>2374.52</v>
      </c>
      <c r="AD106" s="8"/>
      <c r="AE106" s="8">
        <f t="shared" si="3"/>
        <v>104758.23</v>
      </c>
      <c r="AF106" s="8"/>
      <c r="AG106" s="55">
        <v>38669.660000000003</v>
      </c>
      <c r="AH106" s="55"/>
      <c r="AI106" s="55">
        <v>221586.24</v>
      </c>
      <c r="AJ106" s="55"/>
      <c r="AK106" s="55">
        <v>260255.9</v>
      </c>
      <c r="AL106" s="8">
        <f>+'Gov Rev'!AI106-'Gov Exp'!AE106+'Gov Exp'!AI106-'Gov Exp'!AK106</f>
        <v>0</v>
      </c>
      <c r="AM106" s="6" t="str">
        <f>'Gov Rev'!A106</f>
        <v>Caledonia</v>
      </c>
      <c r="AN106" s="6" t="str">
        <f t="shared" si="4"/>
        <v>Caledonia</v>
      </c>
      <c r="AO106" s="6" t="b">
        <f t="shared" si="5"/>
        <v>1</v>
      </c>
    </row>
    <row r="107" spans="1:41" s="14" customFormat="1" ht="12" customHeight="1" x14ac:dyDescent="0.2">
      <c r="A107" s="6" t="s">
        <v>183</v>
      </c>
      <c r="B107" s="6"/>
      <c r="C107" s="6" t="s">
        <v>472</v>
      </c>
      <c r="D107" s="6"/>
      <c r="E107" s="8">
        <v>188784.79</v>
      </c>
      <c r="F107" s="8"/>
      <c r="G107" s="8">
        <v>0</v>
      </c>
      <c r="H107" s="8"/>
      <c r="I107" s="8">
        <v>0</v>
      </c>
      <c r="J107" s="8"/>
      <c r="K107" s="8">
        <v>0</v>
      </c>
      <c r="L107" s="8"/>
      <c r="M107" s="8">
        <v>20793.009999999998</v>
      </c>
      <c r="N107" s="8"/>
      <c r="O107" s="8">
        <v>192334.64</v>
      </c>
      <c r="P107" s="8"/>
      <c r="Q107" s="8">
        <v>135807.56</v>
      </c>
      <c r="R107" s="8"/>
      <c r="S107" s="8">
        <v>0</v>
      </c>
      <c r="T107" s="8"/>
      <c r="U107" s="8">
        <v>0</v>
      </c>
      <c r="V107" s="8"/>
      <c r="W107" s="8">
        <v>0</v>
      </c>
      <c r="X107" s="8"/>
      <c r="Y107" s="8">
        <v>0</v>
      </c>
      <c r="Z107" s="8"/>
      <c r="AA107" s="8">
        <v>0</v>
      </c>
      <c r="AB107" s="8"/>
      <c r="AC107" s="8">
        <v>0</v>
      </c>
      <c r="AD107" s="8"/>
      <c r="AE107" s="8">
        <f t="shared" si="3"/>
        <v>537720</v>
      </c>
      <c r="AF107" s="8"/>
      <c r="AG107" s="55">
        <v>-35410.31</v>
      </c>
      <c r="AH107" s="55"/>
      <c r="AI107" s="55">
        <v>307195.99</v>
      </c>
      <c r="AJ107" s="55"/>
      <c r="AK107" s="55">
        <v>271785.68</v>
      </c>
      <c r="AL107" s="8">
        <f>+'Gov Rev'!AI107-'Gov Exp'!AE107+'Gov Exp'!AI107-'Gov Exp'!AK107</f>
        <v>0</v>
      </c>
      <c r="AM107" s="6" t="str">
        <f>'Gov Rev'!A107</f>
        <v>Camden</v>
      </c>
      <c r="AN107" s="6" t="str">
        <f t="shared" si="4"/>
        <v>Camden</v>
      </c>
      <c r="AO107" s="6" t="b">
        <f t="shared" si="5"/>
        <v>1</v>
      </c>
    </row>
    <row r="108" spans="1:41" ht="12" customHeight="1" x14ac:dyDescent="0.2">
      <c r="A108" s="6" t="s">
        <v>156</v>
      </c>
      <c r="C108" s="6" t="s">
        <v>226</v>
      </c>
      <c r="E108" s="8">
        <v>357057.03</v>
      </c>
      <c r="G108" s="8">
        <v>1417.16</v>
      </c>
      <c r="I108" s="8">
        <v>6850.84</v>
      </c>
      <c r="K108" s="8">
        <v>931.14</v>
      </c>
      <c r="M108" s="8">
        <v>2419.6999999999998</v>
      </c>
      <c r="O108" s="8">
        <v>165956.26999999999</v>
      </c>
      <c r="Q108" s="8">
        <v>405307.19</v>
      </c>
      <c r="S108" s="8">
        <v>6623.13</v>
      </c>
      <c r="U108" s="8">
        <v>32443.89</v>
      </c>
      <c r="W108" s="8">
        <v>12630.99</v>
      </c>
      <c r="Y108" s="8">
        <v>200000</v>
      </c>
      <c r="AA108" s="8">
        <v>0</v>
      </c>
      <c r="AC108" s="8">
        <v>0</v>
      </c>
      <c r="AE108" s="8">
        <f t="shared" si="3"/>
        <v>1191637.3400000001</v>
      </c>
      <c r="AF108" s="8"/>
      <c r="AG108" s="55">
        <v>246072.1</v>
      </c>
      <c r="AH108" s="55"/>
      <c r="AI108" s="55">
        <v>991430.14</v>
      </c>
      <c r="AJ108" s="55"/>
      <c r="AK108" s="55">
        <v>1237502.24</v>
      </c>
      <c r="AL108" s="8">
        <f>+'Gov Rev'!AI108-'Gov Exp'!AE108+'Gov Exp'!AI108-'Gov Exp'!AK108</f>
        <v>0</v>
      </c>
      <c r="AM108" s="6" t="str">
        <f>'Gov Rev'!A108</f>
        <v>Cardington</v>
      </c>
      <c r="AN108" s="6" t="str">
        <f t="shared" si="4"/>
        <v>Cardington</v>
      </c>
      <c r="AO108" s="6" t="b">
        <f t="shared" si="5"/>
        <v>1</v>
      </c>
    </row>
    <row r="109" spans="1:41" ht="12" customHeight="1" x14ac:dyDescent="0.2">
      <c r="A109" s="6" t="s">
        <v>565</v>
      </c>
      <c r="C109" s="6" t="s">
        <v>566</v>
      </c>
      <c r="E109" s="8">
        <v>916388</v>
      </c>
      <c r="G109" s="8">
        <v>28836</v>
      </c>
      <c r="I109" s="8">
        <v>117351</v>
      </c>
      <c r="K109" s="8">
        <v>6800</v>
      </c>
      <c r="M109" s="8">
        <v>3035</v>
      </c>
      <c r="O109" s="8">
        <v>226054</v>
      </c>
      <c r="Q109" s="8">
        <v>341997</v>
      </c>
      <c r="S109" s="8">
        <v>4425</v>
      </c>
      <c r="U109" s="8">
        <v>55000</v>
      </c>
      <c r="W109" s="8">
        <v>10981</v>
      </c>
      <c r="Y109" s="8">
        <v>0</v>
      </c>
      <c r="AA109" s="8">
        <v>0</v>
      </c>
      <c r="AC109" s="8">
        <v>0</v>
      </c>
      <c r="AE109" s="8">
        <f t="shared" si="3"/>
        <v>1710867</v>
      </c>
      <c r="AF109" s="8"/>
      <c r="AG109" s="55"/>
      <c r="AH109" s="55"/>
      <c r="AI109" s="55"/>
      <c r="AJ109" s="55"/>
      <c r="AK109" s="55"/>
      <c r="AL109" s="8">
        <f>+'Gov Rev'!AI109-'Gov Exp'!AE109+'Gov Exp'!AI109-'Gov Exp'!AK109</f>
        <v>-34030</v>
      </c>
      <c r="AM109" s="6" t="str">
        <f>'Gov Rev'!A109</f>
        <v>Carey</v>
      </c>
      <c r="AN109" s="6" t="str">
        <f t="shared" si="4"/>
        <v>Carey</v>
      </c>
      <c r="AO109" s="6" t="b">
        <f t="shared" si="5"/>
        <v>1</v>
      </c>
    </row>
    <row r="110" spans="1:41" ht="12" customHeight="1" x14ac:dyDescent="0.2">
      <c r="A110" s="6" t="s">
        <v>816</v>
      </c>
      <c r="C110" s="6" t="s">
        <v>697</v>
      </c>
      <c r="E110" s="8">
        <v>762164</v>
      </c>
      <c r="G110" s="8">
        <v>0</v>
      </c>
      <c r="I110" s="8">
        <v>6612</v>
      </c>
      <c r="K110" s="8">
        <v>157237</v>
      </c>
      <c r="M110" s="8">
        <v>0</v>
      </c>
      <c r="O110" s="8">
        <v>276866</v>
      </c>
      <c r="Q110" s="8">
        <f>710500+1500</f>
        <v>712000</v>
      </c>
      <c r="S110" s="8">
        <v>190554</v>
      </c>
      <c r="U110" s="8">
        <v>1942831</v>
      </c>
      <c r="W110" s="8">
        <v>58443</v>
      </c>
      <c r="Y110" s="8">
        <v>156000</v>
      </c>
      <c r="AA110" s="8">
        <v>0</v>
      </c>
      <c r="AC110" s="8">
        <v>0</v>
      </c>
      <c r="AE110" s="8">
        <f t="shared" si="3"/>
        <v>4262707</v>
      </c>
      <c r="AF110" s="8"/>
      <c r="AG110" s="55"/>
      <c r="AH110" s="55"/>
      <c r="AI110" s="55"/>
      <c r="AJ110" s="55"/>
      <c r="AK110" s="55"/>
      <c r="AL110" s="8">
        <f>+'Gov Rev'!AI110-'Gov Exp'!AE110+'Gov Exp'!AI110-'Gov Exp'!AK110</f>
        <v>18645</v>
      </c>
      <c r="AM110" s="6" t="str">
        <f>'Gov Rev'!A110</f>
        <v>Carlisle</v>
      </c>
      <c r="AN110" s="6" t="str">
        <f t="shared" si="4"/>
        <v>Carlisle</v>
      </c>
      <c r="AO110" s="6" t="b">
        <f t="shared" si="5"/>
        <v>1</v>
      </c>
    </row>
    <row r="111" spans="1:41" s="14" customFormat="1" ht="12" customHeight="1" x14ac:dyDescent="0.2">
      <c r="A111" s="6" t="s">
        <v>57</v>
      </c>
      <c r="B111" s="6"/>
      <c r="C111" s="6" t="s">
        <v>327</v>
      </c>
      <c r="D111" s="6"/>
      <c r="E111" s="8">
        <v>110908.76</v>
      </c>
      <c r="F111" s="8"/>
      <c r="G111" s="8">
        <v>2091.12</v>
      </c>
      <c r="H111" s="8"/>
      <c r="I111" s="8">
        <v>9066.44</v>
      </c>
      <c r="J111" s="8"/>
      <c r="K111" s="8">
        <v>13968.29</v>
      </c>
      <c r="L111" s="8"/>
      <c r="M111" s="8">
        <v>0</v>
      </c>
      <c r="N111" s="8"/>
      <c r="O111" s="8">
        <v>42113.23</v>
      </c>
      <c r="P111" s="8"/>
      <c r="Q111" s="8">
        <v>67853.67</v>
      </c>
      <c r="R111" s="8"/>
      <c r="S111" s="8">
        <v>7766.39</v>
      </c>
      <c r="T111" s="8"/>
      <c r="U111" s="8">
        <v>0</v>
      </c>
      <c r="V111" s="8"/>
      <c r="W111" s="8">
        <v>0</v>
      </c>
      <c r="X111" s="8"/>
      <c r="Y111" s="8">
        <v>500</v>
      </c>
      <c r="Z111" s="8"/>
      <c r="AA111" s="8">
        <v>0</v>
      </c>
      <c r="AB111" s="8"/>
      <c r="AC111" s="8">
        <v>0</v>
      </c>
      <c r="AD111" s="8"/>
      <c r="AE111" s="8">
        <f t="shared" si="3"/>
        <v>254267.90000000002</v>
      </c>
      <c r="AF111" s="8"/>
      <c r="AG111" s="55">
        <v>6340.03</v>
      </c>
      <c r="AH111" s="55"/>
      <c r="AI111" s="55">
        <v>310594.32</v>
      </c>
      <c r="AJ111" s="55"/>
      <c r="AK111" s="55">
        <v>316934.34999999998</v>
      </c>
      <c r="AL111" s="8">
        <f>+'Gov Rev'!AI111-'Gov Exp'!AE111+'Gov Exp'!AI111-'Gov Exp'!AK111</f>
        <v>0</v>
      </c>
      <c r="AM111" s="6" t="str">
        <f>'Gov Rev'!A111</f>
        <v>Carroll</v>
      </c>
      <c r="AN111" s="6" t="str">
        <f t="shared" si="4"/>
        <v>Carroll</v>
      </c>
      <c r="AO111" s="6" t="b">
        <f t="shared" si="5"/>
        <v>1</v>
      </c>
    </row>
    <row r="112" spans="1:41" s="14" customFormat="1" ht="12" customHeight="1" x14ac:dyDescent="0.2">
      <c r="A112" s="6" t="s">
        <v>267</v>
      </c>
      <c r="B112" s="6"/>
      <c r="C112" s="6" t="s">
        <v>57</v>
      </c>
      <c r="D112" s="6"/>
      <c r="E112" s="8">
        <v>731980</v>
      </c>
      <c r="F112" s="8"/>
      <c r="G112" s="8">
        <v>47028</v>
      </c>
      <c r="H112" s="8"/>
      <c r="I112" s="8">
        <v>1500</v>
      </c>
      <c r="J112" s="8"/>
      <c r="K112" s="8">
        <v>5263</v>
      </c>
      <c r="L112" s="8"/>
      <c r="M112" s="8">
        <v>0</v>
      </c>
      <c r="N112" s="8"/>
      <c r="O112" s="8">
        <v>420257</v>
      </c>
      <c r="P112" s="8"/>
      <c r="Q112" s="8">
        <v>358950</v>
      </c>
      <c r="R112" s="8"/>
      <c r="S112" s="8">
        <v>103362</v>
      </c>
      <c r="T112" s="8"/>
      <c r="U112" s="8">
        <v>39667</v>
      </c>
      <c r="V112" s="8"/>
      <c r="W112" s="8">
        <v>1679</v>
      </c>
      <c r="X112" s="8"/>
      <c r="Y112" s="8">
        <v>0</v>
      </c>
      <c r="Z112" s="8"/>
      <c r="AA112" s="8">
        <v>0</v>
      </c>
      <c r="AB112" s="8"/>
      <c r="AC112" s="8">
        <v>0</v>
      </c>
      <c r="AD112" s="8"/>
      <c r="AE112" s="8">
        <f t="shared" si="3"/>
        <v>1709686</v>
      </c>
      <c r="AF112" s="8"/>
      <c r="AG112" s="55"/>
      <c r="AH112" s="55"/>
      <c r="AI112" s="55"/>
      <c r="AJ112" s="55"/>
      <c r="AK112" s="55"/>
      <c r="AL112" s="8">
        <f>+'Gov Rev'!AI112-'Gov Exp'!AE112+'Gov Exp'!AI112-'Gov Exp'!AK112</f>
        <v>222854</v>
      </c>
      <c r="AM112" s="6" t="str">
        <f>'Gov Rev'!A112</f>
        <v>Carrollton</v>
      </c>
      <c r="AN112" s="6" t="str">
        <f t="shared" si="4"/>
        <v>Carrollton</v>
      </c>
      <c r="AO112" s="6" t="b">
        <f t="shared" si="5"/>
        <v>1</v>
      </c>
    </row>
    <row r="113" spans="1:41" s="14" customFormat="1" ht="12" customHeight="1" x14ac:dyDescent="0.2">
      <c r="A113" s="6" t="s">
        <v>795</v>
      </c>
      <c r="B113" s="6"/>
      <c r="C113" s="6" t="s">
        <v>437</v>
      </c>
      <c r="D113" s="6"/>
      <c r="E113" s="8">
        <v>16828.560000000001</v>
      </c>
      <c r="F113" s="8"/>
      <c r="G113" s="8">
        <v>56053.75</v>
      </c>
      <c r="H113" s="8"/>
      <c r="I113" s="8">
        <v>269.14999999999998</v>
      </c>
      <c r="J113" s="8"/>
      <c r="K113" s="8">
        <v>0</v>
      </c>
      <c r="L113" s="8"/>
      <c r="M113" s="8">
        <v>0</v>
      </c>
      <c r="N113" s="8"/>
      <c r="O113" s="8">
        <v>19254.36</v>
      </c>
      <c r="P113" s="8"/>
      <c r="Q113" s="8">
        <v>17863.2</v>
      </c>
      <c r="R113" s="8"/>
      <c r="S113" s="8">
        <v>0</v>
      </c>
      <c r="T113" s="8"/>
      <c r="U113" s="8">
        <v>0</v>
      </c>
      <c r="V113" s="8"/>
      <c r="W113" s="8">
        <v>0</v>
      </c>
      <c r="X113" s="8"/>
      <c r="Y113" s="8">
        <v>0</v>
      </c>
      <c r="Z113" s="8"/>
      <c r="AA113" s="8">
        <v>0</v>
      </c>
      <c r="AB113" s="8"/>
      <c r="AC113" s="8">
        <v>0</v>
      </c>
      <c r="AD113" s="8"/>
      <c r="AE113" s="8">
        <f t="shared" si="3"/>
        <v>110269.01999999999</v>
      </c>
      <c r="AF113" s="8"/>
      <c r="AG113" s="55">
        <v>-8446.9500000000007</v>
      </c>
      <c r="AH113" s="55"/>
      <c r="AI113" s="55">
        <v>497031.69</v>
      </c>
      <c r="AJ113" s="55"/>
      <c r="AK113" s="55">
        <v>488584.74</v>
      </c>
      <c r="AL113" s="8">
        <f>+'Gov Rev'!AI113-'Gov Exp'!AE113+'Gov Exp'!AI113-'Gov Exp'!AK113</f>
        <v>0</v>
      </c>
      <c r="AM113" s="6" t="str">
        <f>'Gov Rev'!A113</f>
        <v>Casstown</v>
      </c>
      <c r="AN113" s="6" t="str">
        <f t="shared" si="4"/>
        <v>Casstown</v>
      </c>
      <c r="AO113" s="6" t="b">
        <f t="shared" si="5"/>
        <v>1</v>
      </c>
    </row>
    <row r="114" spans="1:41" ht="12" customHeight="1" x14ac:dyDescent="0.2">
      <c r="A114" s="6" t="s">
        <v>55</v>
      </c>
      <c r="C114" s="6" t="s">
        <v>325</v>
      </c>
      <c r="E114" s="8">
        <v>158851.71</v>
      </c>
      <c r="G114" s="8">
        <v>1200</v>
      </c>
      <c r="I114" s="8">
        <v>4991.2700000000004</v>
      </c>
      <c r="K114" s="8">
        <v>1388.44</v>
      </c>
      <c r="M114" s="8">
        <v>1259.92</v>
      </c>
      <c r="O114" s="8">
        <v>74956.92</v>
      </c>
      <c r="Q114" s="8">
        <v>67090.509999999995</v>
      </c>
      <c r="S114" s="8">
        <v>10867.22</v>
      </c>
      <c r="U114" s="8">
        <v>0</v>
      </c>
      <c r="W114" s="8">
        <v>0</v>
      </c>
      <c r="Y114" s="8">
        <v>10000</v>
      </c>
      <c r="AA114" s="8">
        <v>0</v>
      </c>
      <c r="AC114" s="8">
        <v>0</v>
      </c>
      <c r="AE114" s="8">
        <f t="shared" si="3"/>
        <v>330605.99</v>
      </c>
      <c r="AF114" s="8"/>
      <c r="AG114" s="55">
        <v>-100691.13</v>
      </c>
      <c r="AH114" s="55"/>
      <c r="AI114" s="55">
        <v>370642.22</v>
      </c>
      <c r="AJ114" s="55"/>
      <c r="AK114" s="55">
        <v>269951.09000000003</v>
      </c>
      <c r="AL114" s="8">
        <f>+'Gov Rev'!AI114-'Gov Exp'!AE114+'Gov Exp'!AI114-'Gov Exp'!AK114</f>
        <v>0</v>
      </c>
      <c r="AM114" s="6" t="str">
        <f>'Gov Rev'!A114</f>
        <v>Castalia</v>
      </c>
      <c r="AN114" s="6" t="str">
        <f t="shared" si="4"/>
        <v>Castalia</v>
      </c>
      <c r="AO114" s="6" t="b">
        <f t="shared" si="5"/>
        <v>1</v>
      </c>
    </row>
    <row r="115" spans="1:41" ht="12" customHeight="1" x14ac:dyDescent="0.2">
      <c r="A115" s="6" t="s">
        <v>33</v>
      </c>
      <c r="C115" s="6" t="s">
        <v>274</v>
      </c>
      <c r="E115" s="8">
        <v>22221.74</v>
      </c>
      <c r="G115" s="8">
        <v>0</v>
      </c>
      <c r="I115" s="8">
        <v>200</v>
      </c>
      <c r="K115" s="8">
        <v>0</v>
      </c>
      <c r="M115" s="8">
        <v>0</v>
      </c>
      <c r="O115" s="8">
        <v>1909.89</v>
      </c>
      <c r="Q115" s="8">
        <v>29054.82</v>
      </c>
      <c r="S115" s="8">
        <v>0</v>
      </c>
      <c r="U115" s="8">
        <v>0</v>
      </c>
      <c r="W115" s="8">
        <v>0</v>
      </c>
      <c r="Y115" s="8">
        <v>0</v>
      </c>
      <c r="AA115" s="8">
        <v>0</v>
      </c>
      <c r="AC115" s="8">
        <v>11540.53</v>
      </c>
      <c r="AE115" s="8">
        <f t="shared" si="3"/>
        <v>64926.979999999996</v>
      </c>
      <c r="AF115" s="8"/>
      <c r="AG115" s="55">
        <v>21360.91</v>
      </c>
      <c r="AH115" s="55"/>
      <c r="AI115" s="55">
        <v>103550.95</v>
      </c>
      <c r="AJ115" s="55"/>
      <c r="AK115" s="55">
        <v>124911.86</v>
      </c>
      <c r="AL115" s="8">
        <f>+'Gov Rev'!AI115-'Gov Exp'!AE115+'Gov Exp'!AI115-'Gov Exp'!AK115</f>
        <v>0</v>
      </c>
      <c r="AM115" s="6" t="str">
        <f>'Gov Rev'!A115</f>
        <v>Catawba</v>
      </c>
      <c r="AN115" s="6" t="str">
        <f t="shared" si="4"/>
        <v>Catawba</v>
      </c>
      <c r="AO115" s="6" t="b">
        <f t="shared" si="5"/>
        <v>1</v>
      </c>
    </row>
    <row r="116" spans="1:41" ht="12" customHeight="1" x14ac:dyDescent="0.2">
      <c r="A116" s="6" t="s">
        <v>168</v>
      </c>
      <c r="C116" s="6" t="s">
        <v>460</v>
      </c>
      <c r="E116" s="8">
        <v>2113.4899999999998</v>
      </c>
      <c r="G116" s="8">
        <v>250</v>
      </c>
      <c r="I116" s="8">
        <v>152.62</v>
      </c>
      <c r="K116" s="8">
        <v>795</v>
      </c>
      <c r="M116" s="8">
        <v>0</v>
      </c>
      <c r="O116" s="8">
        <v>6640.25</v>
      </c>
      <c r="Q116" s="8">
        <v>19636.810000000001</v>
      </c>
      <c r="S116" s="8">
        <v>0</v>
      </c>
      <c r="U116" s="8">
        <v>0</v>
      </c>
      <c r="W116" s="8">
        <v>0</v>
      </c>
      <c r="Y116" s="8">
        <v>0</v>
      </c>
      <c r="AA116" s="8">
        <v>0</v>
      </c>
      <c r="AC116" s="8">
        <v>0</v>
      </c>
      <c r="AE116" s="8">
        <f t="shared" si="3"/>
        <v>29588.170000000002</v>
      </c>
      <c r="AF116" s="8"/>
      <c r="AG116" s="55">
        <v>12871.42</v>
      </c>
      <c r="AH116" s="55"/>
      <c r="AI116" s="55">
        <v>69165.55</v>
      </c>
      <c r="AJ116" s="55"/>
      <c r="AK116" s="55">
        <v>82036.97</v>
      </c>
      <c r="AL116" s="8">
        <f>+'Gov Rev'!AI116-'Gov Exp'!AE116+'Gov Exp'!AI116-'Gov Exp'!AK116</f>
        <v>0</v>
      </c>
      <c r="AM116" s="6" t="str">
        <f>'Gov Rev'!A116</f>
        <v>Cecil</v>
      </c>
      <c r="AN116" s="6" t="str">
        <f t="shared" si="4"/>
        <v>Cecil</v>
      </c>
      <c r="AO116" s="6" t="b">
        <f t="shared" si="5"/>
        <v>1</v>
      </c>
    </row>
    <row r="117" spans="1:41" ht="12" customHeight="1" x14ac:dyDescent="0.2">
      <c r="A117" s="6" t="s">
        <v>344</v>
      </c>
      <c r="C117" s="6" t="s">
        <v>345</v>
      </c>
      <c r="E117" s="8">
        <v>411980</v>
      </c>
      <c r="G117" s="8">
        <v>2098</v>
      </c>
      <c r="I117" s="8">
        <v>22229</v>
      </c>
      <c r="K117" s="8">
        <v>7917</v>
      </c>
      <c r="M117" s="8">
        <v>1983</v>
      </c>
      <c r="O117" s="8">
        <v>118792</v>
      </c>
      <c r="Q117" s="8">
        <v>367789</v>
      </c>
      <c r="S117" s="8">
        <v>57731</v>
      </c>
      <c r="U117" s="8">
        <v>0</v>
      </c>
      <c r="W117" s="8">
        <v>0</v>
      </c>
      <c r="Y117" s="8">
        <v>353500</v>
      </c>
      <c r="AA117" s="8">
        <v>23260</v>
      </c>
      <c r="AC117" s="8">
        <v>0</v>
      </c>
      <c r="AE117" s="8">
        <f t="shared" si="3"/>
        <v>1367279</v>
      </c>
      <c r="AF117" s="8"/>
      <c r="AG117" s="55"/>
      <c r="AH117" s="55"/>
      <c r="AI117" s="55"/>
      <c r="AJ117" s="55"/>
      <c r="AK117" s="55"/>
      <c r="AL117" s="8">
        <f>+'Gov Rev'!AI117-'Gov Exp'!AE117+'Gov Exp'!AI117-'Gov Exp'!AK117</f>
        <v>-104434</v>
      </c>
      <c r="AM117" s="6" t="str">
        <f>'Gov Rev'!A117</f>
        <v>Cedarville</v>
      </c>
      <c r="AN117" s="6" t="str">
        <f t="shared" si="4"/>
        <v>Cedarville</v>
      </c>
      <c r="AO117" s="6" t="b">
        <f t="shared" si="5"/>
        <v>1</v>
      </c>
    </row>
    <row r="118" spans="1:41" ht="12" customHeight="1" x14ac:dyDescent="0.2">
      <c r="A118" s="6" t="s">
        <v>114</v>
      </c>
      <c r="C118" s="6" t="s">
        <v>396</v>
      </c>
      <c r="E118" s="8">
        <v>214817.5</v>
      </c>
      <c r="G118" s="8">
        <v>1648.53</v>
      </c>
      <c r="I118" s="8">
        <v>0</v>
      </c>
      <c r="K118" s="8">
        <v>16367.01</v>
      </c>
      <c r="M118" s="8">
        <v>0</v>
      </c>
      <c r="O118" s="8">
        <v>144452.78</v>
      </c>
      <c r="Q118" s="8">
        <v>217410.11</v>
      </c>
      <c r="S118" s="8">
        <v>116585.52</v>
      </c>
      <c r="U118" s="8">
        <v>12457.22</v>
      </c>
      <c r="W118" s="8">
        <v>928.51</v>
      </c>
      <c r="Y118" s="8">
        <v>427.99</v>
      </c>
      <c r="AA118" s="8">
        <v>0</v>
      </c>
      <c r="AC118" s="8">
        <v>0</v>
      </c>
      <c r="AE118" s="8">
        <f t="shared" si="3"/>
        <v>725095.16999999993</v>
      </c>
      <c r="AF118" s="8"/>
      <c r="AG118" s="55">
        <v>42692.959999999999</v>
      </c>
      <c r="AH118" s="55"/>
      <c r="AI118" s="55">
        <v>446927.51</v>
      </c>
      <c r="AJ118" s="55"/>
      <c r="AK118" s="55">
        <v>489620.47</v>
      </c>
      <c r="AL118" s="8">
        <f>+'Gov Rev'!AI118-'Gov Exp'!AE118+'Gov Exp'!AI118-'Gov Exp'!AK118</f>
        <v>0</v>
      </c>
      <c r="AM118" s="6" t="str">
        <f>'Gov Rev'!A118</f>
        <v>Centerburg</v>
      </c>
      <c r="AN118" s="6" t="str">
        <f t="shared" si="4"/>
        <v>Centerburg</v>
      </c>
      <c r="AO118" s="6" t="b">
        <f t="shared" si="5"/>
        <v>1</v>
      </c>
    </row>
    <row r="119" spans="1:41" ht="12" customHeight="1" x14ac:dyDescent="0.2">
      <c r="A119" s="6" t="s">
        <v>709</v>
      </c>
      <c r="C119" s="6" t="s">
        <v>338</v>
      </c>
      <c r="E119" s="8">
        <v>23888.79</v>
      </c>
      <c r="G119" s="8">
        <v>0</v>
      </c>
      <c r="I119" s="8">
        <v>0</v>
      </c>
      <c r="K119" s="8">
        <v>0</v>
      </c>
      <c r="M119" s="8">
        <v>0</v>
      </c>
      <c r="O119" s="8">
        <v>2644.37</v>
      </c>
      <c r="Q119" s="8">
        <v>58741.440000000002</v>
      </c>
      <c r="S119" s="8">
        <v>0</v>
      </c>
      <c r="U119" s="8">
        <v>3653.07</v>
      </c>
      <c r="W119" s="8">
        <v>1634.94</v>
      </c>
      <c r="Y119" s="8">
        <v>7217.39</v>
      </c>
      <c r="AA119" s="8">
        <v>0</v>
      </c>
      <c r="AC119" s="8">
        <v>0</v>
      </c>
      <c r="AE119" s="8">
        <f t="shared" si="3"/>
        <v>97780.000000000015</v>
      </c>
      <c r="AF119" s="8"/>
      <c r="AG119" s="55">
        <v>466.39</v>
      </c>
      <c r="AH119" s="55"/>
      <c r="AI119" s="55">
        <v>24401.97</v>
      </c>
      <c r="AJ119" s="55"/>
      <c r="AK119" s="55">
        <v>24868.36</v>
      </c>
      <c r="AL119" s="8">
        <f>+'Gov Rev'!AI119-'Gov Exp'!AE119+'Gov Exp'!AI119-'Gov Exp'!AK119</f>
        <v>0</v>
      </c>
      <c r="AM119" s="6" t="str">
        <f>'Gov Rev'!A119</f>
        <v>Centerville</v>
      </c>
      <c r="AN119" s="6" t="str">
        <f t="shared" si="4"/>
        <v>Centerville</v>
      </c>
      <c r="AO119" s="6" t="b">
        <f t="shared" si="5"/>
        <v>1</v>
      </c>
    </row>
    <row r="120" spans="1:41" ht="12" customHeight="1" x14ac:dyDescent="0.2">
      <c r="A120" s="6" t="s">
        <v>296</v>
      </c>
      <c r="C120" s="6" t="s">
        <v>293</v>
      </c>
      <c r="E120" s="8">
        <v>2762706</v>
      </c>
      <c r="G120" s="8">
        <v>456765</v>
      </c>
      <c r="I120" s="8">
        <v>87590</v>
      </c>
      <c r="K120" s="8">
        <v>202683</v>
      </c>
      <c r="M120" s="8">
        <v>402917</v>
      </c>
      <c r="O120" s="8">
        <v>913839</v>
      </c>
      <c r="Q120" s="8">
        <v>1159028</v>
      </c>
      <c r="S120" s="8">
        <v>1314845</v>
      </c>
      <c r="U120" s="8">
        <v>202339</v>
      </c>
      <c r="W120" s="8">
        <v>51232</v>
      </c>
      <c r="Y120" s="8">
        <v>1013285</v>
      </c>
      <c r="AA120" s="8">
        <v>20000</v>
      </c>
      <c r="AC120" s="8">
        <v>3486</v>
      </c>
      <c r="AE120" s="8">
        <f t="shared" si="3"/>
        <v>8590715</v>
      </c>
      <c r="AF120" s="8"/>
      <c r="AG120" s="55"/>
      <c r="AH120" s="55"/>
      <c r="AI120" s="55"/>
      <c r="AJ120" s="55"/>
      <c r="AK120" s="55"/>
      <c r="AL120" s="8">
        <f>+'Gov Rev'!AI120-'Gov Exp'!AE120+'Gov Exp'!AI120-'Gov Exp'!AK120</f>
        <v>-227917</v>
      </c>
      <c r="AM120" s="6" t="str">
        <f>'Gov Rev'!A120</f>
        <v>Chagrin Falls</v>
      </c>
      <c r="AN120" s="6" t="str">
        <f t="shared" si="4"/>
        <v>Chagrin Falls</v>
      </c>
      <c r="AO120" s="6" t="b">
        <f t="shared" si="5"/>
        <v>1</v>
      </c>
    </row>
    <row r="121" spans="1:41" ht="12" customHeight="1" x14ac:dyDescent="0.2">
      <c r="A121" s="6" t="s">
        <v>288</v>
      </c>
      <c r="C121" s="6" t="s">
        <v>289</v>
      </c>
      <c r="E121" s="8">
        <f>607+4810</f>
        <v>5417</v>
      </c>
      <c r="G121" s="8">
        <v>254</v>
      </c>
      <c r="I121" s="8">
        <v>0</v>
      </c>
      <c r="K121" s="8">
        <v>0</v>
      </c>
      <c r="M121" s="8">
        <v>0</v>
      </c>
      <c r="O121" s="8">
        <v>2470</v>
      </c>
      <c r="Q121" s="8">
        <v>11507</v>
      </c>
      <c r="S121" s="8">
        <v>0</v>
      </c>
      <c r="U121" s="8">
        <v>0</v>
      </c>
      <c r="W121" s="8">
        <v>0</v>
      </c>
      <c r="Y121" s="8">
        <v>0</v>
      </c>
      <c r="AA121" s="8">
        <v>0</v>
      </c>
      <c r="AC121" s="8">
        <v>0</v>
      </c>
      <c r="AE121" s="8">
        <f t="shared" si="3"/>
        <v>19648</v>
      </c>
      <c r="AF121" s="8"/>
      <c r="AG121" s="55"/>
      <c r="AH121" s="55"/>
      <c r="AI121" s="55"/>
      <c r="AJ121" s="55"/>
      <c r="AK121" s="55"/>
      <c r="AL121" s="8">
        <f>+'Gov Rev'!AI121-'Gov Exp'!AE121+'Gov Exp'!AI121-'Gov Exp'!AK121</f>
        <v>-2759</v>
      </c>
      <c r="AM121" s="6" t="str">
        <f>'Gov Rev'!A121</f>
        <v>Chatfield</v>
      </c>
      <c r="AN121" s="6" t="str">
        <f t="shared" si="4"/>
        <v>Chatfield</v>
      </c>
      <c r="AO121" s="6" t="b">
        <f t="shared" si="5"/>
        <v>1</v>
      </c>
    </row>
    <row r="122" spans="1:41" ht="12" customHeight="1" x14ac:dyDescent="0.2">
      <c r="A122" s="6" t="s">
        <v>255</v>
      </c>
      <c r="C122" s="6" t="s">
        <v>253</v>
      </c>
      <c r="E122" s="8">
        <v>8800</v>
      </c>
      <c r="G122" s="8">
        <v>0</v>
      </c>
      <c r="I122" s="8">
        <v>0</v>
      </c>
      <c r="K122" s="8">
        <v>0</v>
      </c>
      <c r="M122" s="8">
        <v>0</v>
      </c>
      <c r="O122" s="8">
        <v>32739.65</v>
      </c>
      <c r="Q122" s="8">
        <v>56557.05</v>
      </c>
      <c r="S122" s="8">
        <v>0</v>
      </c>
      <c r="U122" s="8">
        <v>0</v>
      </c>
      <c r="W122" s="8">
        <v>0</v>
      </c>
      <c r="Y122" s="8">
        <v>0</v>
      </c>
      <c r="AA122" s="8">
        <v>0</v>
      </c>
      <c r="AC122" s="8">
        <v>0</v>
      </c>
      <c r="AE122" s="8">
        <f t="shared" si="3"/>
        <v>98096.700000000012</v>
      </c>
      <c r="AF122" s="8"/>
      <c r="AG122" s="55">
        <v>21963.32</v>
      </c>
      <c r="AH122" s="55"/>
      <c r="AI122" s="55">
        <v>46280.72</v>
      </c>
      <c r="AJ122" s="55"/>
      <c r="AK122" s="55">
        <v>68244.039999999994</v>
      </c>
      <c r="AL122" s="8">
        <f>+'Gov Rev'!AI122-'Gov Exp'!AE122+'Gov Exp'!AI122-'Gov Exp'!AK122</f>
        <v>0</v>
      </c>
      <c r="AM122" s="6" t="str">
        <f>'Gov Rev'!A122</f>
        <v>Chauncey</v>
      </c>
      <c r="AN122" s="6" t="str">
        <f t="shared" si="4"/>
        <v>Chauncey</v>
      </c>
      <c r="AO122" s="6" t="b">
        <f t="shared" si="5"/>
        <v>1</v>
      </c>
    </row>
    <row r="123" spans="1:41" ht="12" customHeight="1" x14ac:dyDescent="0.2">
      <c r="A123" s="6" t="s">
        <v>405</v>
      </c>
      <c r="C123" s="6" t="s">
        <v>406</v>
      </c>
      <c r="E123" s="8">
        <v>153710.57</v>
      </c>
      <c r="G123" s="8">
        <v>0</v>
      </c>
      <c r="I123" s="8">
        <v>2568.21</v>
      </c>
      <c r="K123" s="8">
        <v>0</v>
      </c>
      <c r="M123" s="8">
        <v>0</v>
      </c>
      <c r="O123" s="8">
        <v>52174.94</v>
      </c>
      <c r="Q123" s="8">
        <v>86431.97</v>
      </c>
      <c r="S123" s="8">
        <v>3325.46</v>
      </c>
      <c r="U123" s="8">
        <v>12070.49</v>
      </c>
      <c r="W123" s="8">
        <v>4054.16</v>
      </c>
      <c r="Y123" s="8">
        <v>0</v>
      </c>
      <c r="AA123" s="8">
        <v>0</v>
      </c>
      <c r="AC123" s="8">
        <v>137.36000000000001</v>
      </c>
      <c r="AE123" s="8">
        <f t="shared" si="3"/>
        <v>314473.15999999997</v>
      </c>
      <c r="AF123" s="8"/>
      <c r="AG123" s="55">
        <v>-16732.849999999999</v>
      </c>
      <c r="AH123" s="55"/>
      <c r="AI123" s="55">
        <v>91920.35</v>
      </c>
      <c r="AJ123" s="55"/>
      <c r="AK123" s="55">
        <v>75187.5</v>
      </c>
      <c r="AL123" s="8">
        <f>+'Gov Rev'!AI123-'Gov Exp'!AE123+'Gov Exp'!AI123-'Gov Exp'!AK123</f>
        <v>0</v>
      </c>
      <c r="AM123" s="6" t="str">
        <f>'Gov Rev'!A123</f>
        <v>Chesapeake</v>
      </c>
      <c r="AN123" s="6" t="str">
        <f t="shared" si="4"/>
        <v>Chesapeake</v>
      </c>
      <c r="AO123" s="6" t="b">
        <f t="shared" si="5"/>
        <v>1</v>
      </c>
    </row>
    <row r="124" spans="1:41" ht="12" customHeight="1" x14ac:dyDescent="0.2">
      <c r="A124" s="6" t="s">
        <v>74</v>
      </c>
      <c r="C124" s="6" t="s">
        <v>338</v>
      </c>
      <c r="E124" s="8">
        <v>10057.620000000001</v>
      </c>
      <c r="G124" s="8">
        <v>0</v>
      </c>
      <c r="I124" s="8">
        <v>25</v>
      </c>
      <c r="K124" s="8">
        <v>989.99</v>
      </c>
      <c r="M124" s="8">
        <v>0</v>
      </c>
      <c r="O124" s="8">
        <v>11194.76</v>
      </c>
      <c r="Q124" s="8">
        <v>39895.410000000003</v>
      </c>
      <c r="S124" s="8">
        <v>0</v>
      </c>
      <c r="U124" s="8">
        <v>0</v>
      </c>
      <c r="W124" s="8">
        <v>0</v>
      </c>
      <c r="Y124" s="8">
        <v>0</v>
      </c>
      <c r="AA124" s="8">
        <v>0</v>
      </c>
      <c r="AC124" s="8">
        <v>0</v>
      </c>
      <c r="AE124" s="8">
        <f t="shared" si="3"/>
        <v>62162.780000000006</v>
      </c>
      <c r="AF124" s="8"/>
      <c r="AG124" s="55">
        <v>-910.78</v>
      </c>
      <c r="AH124" s="55"/>
      <c r="AI124" s="55">
        <v>110424.46</v>
      </c>
      <c r="AJ124" s="55"/>
      <c r="AK124" s="55">
        <v>109513.68</v>
      </c>
      <c r="AL124" s="8">
        <f>+'Gov Rev'!AI124-'Gov Exp'!AE124+'Gov Exp'!AI124-'Gov Exp'!AK124</f>
        <v>0</v>
      </c>
      <c r="AM124" s="6" t="str">
        <f>'Gov Rev'!A124</f>
        <v>Cheshire</v>
      </c>
      <c r="AN124" s="6" t="str">
        <f t="shared" si="4"/>
        <v>Cheshire</v>
      </c>
      <c r="AO124" s="6" t="b">
        <f t="shared" si="5"/>
        <v>1</v>
      </c>
    </row>
    <row r="125" spans="1:41" ht="12" customHeight="1" x14ac:dyDescent="0.2">
      <c r="A125" s="6" t="s">
        <v>764</v>
      </c>
      <c r="C125" s="6" t="s">
        <v>765</v>
      </c>
      <c r="E125" s="8">
        <v>1556.3</v>
      </c>
      <c r="G125" s="8">
        <v>0</v>
      </c>
      <c r="I125" s="8">
        <v>221.87</v>
      </c>
      <c r="K125" s="8">
        <v>0</v>
      </c>
      <c r="M125" s="8">
        <v>6736.47</v>
      </c>
      <c r="O125" s="8">
        <v>2211.4899999999998</v>
      </c>
      <c r="Q125" s="8">
        <v>3346.66</v>
      </c>
      <c r="S125" s="8">
        <v>0</v>
      </c>
      <c r="U125" s="8">
        <v>0</v>
      </c>
      <c r="W125" s="8">
        <v>165.28</v>
      </c>
      <c r="Y125" s="8">
        <v>0</v>
      </c>
      <c r="AA125" s="8">
        <v>0</v>
      </c>
      <c r="AC125" s="8">
        <v>0</v>
      </c>
      <c r="AE125" s="8">
        <f t="shared" si="3"/>
        <v>14238.07</v>
      </c>
      <c r="AF125" s="8"/>
      <c r="AG125" s="55">
        <v>1104.26</v>
      </c>
      <c r="AH125" s="55"/>
      <c r="AI125" s="55">
        <v>-298.72000000000003</v>
      </c>
      <c r="AJ125" s="55"/>
      <c r="AK125" s="55">
        <v>805.54</v>
      </c>
      <c r="AL125" s="8">
        <f>+'Gov Rev'!AI125-'Gov Exp'!AE125+'Gov Exp'!AI125-'Gov Exp'!AK125</f>
        <v>0</v>
      </c>
      <c r="AM125" s="6" t="str">
        <f>'Gov Rev'!A125</f>
        <v>Chesterhill</v>
      </c>
      <c r="AN125" s="6" t="str">
        <f t="shared" si="4"/>
        <v>Chesterhill</v>
      </c>
      <c r="AO125" s="6" t="b">
        <f t="shared" si="5"/>
        <v>1</v>
      </c>
    </row>
    <row r="126" spans="1:41" ht="12" customHeight="1" x14ac:dyDescent="0.2">
      <c r="A126" s="6" t="s">
        <v>157</v>
      </c>
      <c r="C126" s="6" t="s">
        <v>226</v>
      </c>
      <c r="E126" s="8">
        <v>6791.98</v>
      </c>
      <c r="G126" s="8">
        <v>744.71</v>
      </c>
      <c r="I126" s="8">
        <v>475</v>
      </c>
      <c r="K126" s="8">
        <v>1580.12</v>
      </c>
      <c r="M126" s="8">
        <v>600</v>
      </c>
      <c r="O126" s="8">
        <v>8489.2199999999993</v>
      </c>
      <c r="Q126" s="8">
        <v>30058.87</v>
      </c>
      <c r="S126" s="8">
        <v>1589.19</v>
      </c>
      <c r="U126" s="8">
        <v>0</v>
      </c>
      <c r="W126" s="8">
        <v>0</v>
      </c>
      <c r="Y126" s="8">
        <v>7920</v>
      </c>
      <c r="AA126" s="8">
        <v>0</v>
      </c>
      <c r="AC126" s="8">
        <v>3853.74</v>
      </c>
      <c r="AE126" s="8">
        <f t="shared" si="3"/>
        <v>62102.829999999994</v>
      </c>
      <c r="AF126" s="8"/>
      <c r="AG126" s="55">
        <v>-5271.24</v>
      </c>
      <c r="AH126" s="55"/>
      <c r="AI126" s="55">
        <v>49708.87</v>
      </c>
      <c r="AJ126" s="55"/>
      <c r="AK126" s="55">
        <v>44437.63</v>
      </c>
      <c r="AL126" s="8">
        <f>+'Gov Rev'!AI126-'Gov Exp'!AE126+'Gov Exp'!AI126-'Gov Exp'!AK126</f>
        <v>0</v>
      </c>
      <c r="AM126" s="6" t="str">
        <f>'Gov Rev'!A126</f>
        <v>Chesterville</v>
      </c>
      <c r="AN126" s="6" t="str">
        <f t="shared" si="4"/>
        <v>Chesterville</v>
      </c>
      <c r="AO126" s="6" t="b">
        <f t="shared" si="5"/>
        <v>1</v>
      </c>
    </row>
    <row r="127" spans="1:41" ht="12" customHeight="1" x14ac:dyDescent="0.2">
      <c r="A127" s="6" t="s">
        <v>721</v>
      </c>
      <c r="C127" s="6" t="s">
        <v>433</v>
      </c>
      <c r="E127" s="8">
        <v>6650.96</v>
      </c>
      <c r="G127" s="8">
        <v>1906.46</v>
      </c>
      <c r="I127" s="8">
        <v>881.26</v>
      </c>
      <c r="K127" s="8">
        <v>389</v>
      </c>
      <c r="M127" s="8">
        <v>11785.31</v>
      </c>
      <c r="O127" s="8">
        <v>42926.5</v>
      </c>
      <c r="Q127" s="8">
        <v>32016.19</v>
      </c>
      <c r="S127" s="8">
        <v>5039.9799999999996</v>
      </c>
      <c r="U127" s="8">
        <v>6612.26</v>
      </c>
      <c r="W127" s="8">
        <v>0</v>
      </c>
      <c r="Y127" s="8">
        <v>0</v>
      </c>
      <c r="AA127" s="8">
        <v>0</v>
      </c>
      <c r="AC127" s="8">
        <v>0</v>
      </c>
      <c r="AE127" s="8">
        <f t="shared" si="3"/>
        <v>108207.91999999998</v>
      </c>
      <c r="AF127" s="8"/>
      <c r="AG127" s="55">
        <v>-21591.85</v>
      </c>
      <c r="AH127" s="55"/>
      <c r="AI127" s="55">
        <v>142732.04999999999</v>
      </c>
      <c r="AJ127" s="55"/>
      <c r="AK127" s="55">
        <v>121140.2</v>
      </c>
      <c r="AL127" s="8">
        <f>+'Gov Rev'!AI127-'Gov Exp'!AE127+'Gov Exp'!AI127-'Gov Exp'!AK127</f>
        <v>0</v>
      </c>
      <c r="AM127" s="6" t="str">
        <f>'Gov Rev'!A127</f>
        <v>Chickasaw</v>
      </c>
      <c r="AN127" s="6" t="str">
        <f t="shared" si="4"/>
        <v>Chickasaw</v>
      </c>
      <c r="AO127" s="6" t="b">
        <f t="shared" si="5"/>
        <v>1</v>
      </c>
    </row>
    <row r="128" spans="1:41" ht="12" customHeight="1" x14ac:dyDescent="0.2">
      <c r="A128" s="6" t="s">
        <v>766</v>
      </c>
      <c r="C128" s="6" t="s">
        <v>277</v>
      </c>
      <c r="D128" s="11"/>
      <c r="E128" s="8">
        <v>4997</v>
      </c>
      <c r="G128" s="8">
        <v>0</v>
      </c>
      <c r="I128" s="8">
        <v>1000</v>
      </c>
      <c r="K128" s="8">
        <v>0</v>
      </c>
      <c r="M128" s="8">
        <v>3133</v>
      </c>
      <c r="O128" s="8">
        <v>0</v>
      </c>
      <c r="Q128" s="8">
        <v>8003</v>
      </c>
      <c r="S128" s="8">
        <v>0</v>
      </c>
      <c r="U128" s="8">
        <v>0</v>
      </c>
      <c r="W128" s="8">
        <v>0</v>
      </c>
      <c r="Y128" s="8">
        <v>0</v>
      </c>
      <c r="AA128" s="8">
        <v>0</v>
      </c>
      <c r="AC128" s="8">
        <v>0</v>
      </c>
      <c r="AE128" s="8">
        <f t="shared" si="3"/>
        <v>17133</v>
      </c>
      <c r="AF128" s="8"/>
      <c r="AG128" s="55"/>
      <c r="AH128" s="55"/>
      <c r="AI128" s="55"/>
      <c r="AJ128" s="55"/>
      <c r="AK128" s="55"/>
      <c r="AL128" s="8">
        <f>+'Gov Rev'!AI128-'Gov Exp'!AE128+'Gov Exp'!AI128-'Gov Exp'!AK128</f>
        <v>1083</v>
      </c>
      <c r="AM128" s="6" t="str">
        <f>'Gov Rev'!A128</f>
        <v>Chilo</v>
      </c>
      <c r="AN128" s="6" t="str">
        <f t="shared" si="4"/>
        <v>Chilo</v>
      </c>
      <c r="AO128" s="6" t="b">
        <f t="shared" si="5"/>
        <v>1</v>
      </c>
    </row>
    <row r="129" spans="1:41" ht="12" customHeight="1" x14ac:dyDescent="0.2">
      <c r="A129" s="6" t="s">
        <v>142</v>
      </c>
      <c r="C129" s="6" t="s">
        <v>823</v>
      </c>
      <c r="E129" s="8">
        <v>46762.52</v>
      </c>
      <c r="G129" s="8">
        <v>0</v>
      </c>
      <c r="I129" s="8">
        <v>30848.92</v>
      </c>
      <c r="K129" s="8">
        <v>20878.03</v>
      </c>
      <c r="M129" s="8">
        <v>0</v>
      </c>
      <c r="O129" s="8">
        <v>49598.03</v>
      </c>
      <c r="Q129" s="8">
        <v>66015.23</v>
      </c>
      <c r="S129" s="8">
        <v>0</v>
      </c>
      <c r="U129" s="8">
        <v>0</v>
      </c>
      <c r="W129" s="8">
        <v>0</v>
      </c>
      <c r="Y129" s="8">
        <v>0</v>
      </c>
      <c r="AA129" s="8">
        <v>0</v>
      </c>
      <c r="AC129" s="8">
        <v>0</v>
      </c>
      <c r="AE129" s="8">
        <f t="shared" si="3"/>
        <v>214102.72999999998</v>
      </c>
      <c r="AF129" s="8"/>
      <c r="AG129" s="55">
        <v>15025.53</v>
      </c>
      <c r="AH129" s="55"/>
      <c r="AI129" s="55">
        <v>200643.73</v>
      </c>
      <c r="AJ129" s="55"/>
      <c r="AK129" s="55">
        <v>215669.26</v>
      </c>
      <c r="AL129" s="8">
        <f>+'Gov Rev'!AI129-'Gov Exp'!AE129+'Gov Exp'!AI129-'Gov Exp'!AK129</f>
        <v>0</v>
      </c>
      <c r="AM129" s="6" t="str">
        <f>'Gov Rev'!A129</f>
        <v>Chippewa Lake</v>
      </c>
      <c r="AN129" s="6" t="str">
        <f t="shared" si="4"/>
        <v>Chippewa Lake</v>
      </c>
      <c r="AO129" s="6" t="b">
        <f t="shared" si="5"/>
        <v>1</v>
      </c>
    </row>
    <row r="130" spans="1:41" ht="12" customHeight="1" x14ac:dyDescent="0.2">
      <c r="A130" s="6" t="s">
        <v>31</v>
      </c>
      <c r="C130" s="6" t="s">
        <v>269</v>
      </c>
      <c r="E130" s="8">
        <v>38097.03</v>
      </c>
      <c r="G130" s="8">
        <v>0</v>
      </c>
      <c r="I130" s="8">
        <v>11558.06</v>
      </c>
      <c r="K130" s="8">
        <v>0</v>
      </c>
      <c r="M130" s="8">
        <v>0</v>
      </c>
      <c r="O130" s="8">
        <v>32815.599999999999</v>
      </c>
      <c r="Q130" s="8">
        <v>32607.93</v>
      </c>
      <c r="S130" s="8">
        <v>234100</v>
      </c>
      <c r="U130" s="8">
        <v>0</v>
      </c>
      <c r="W130" s="8">
        <v>0</v>
      </c>
      <c r="Y130" s="8">
        <v>0</v>
      </c>
      <c r="AA130" s="8">
        <v>0</v>
      </c>
      <c r="AC130" s="8">
        <v>1112.94</v>
      </c>
      <c r="AE130" s="8">
        <f t="shared" si="3"/>
        <v>350291.56</v>
      </c>
      <c r="AF130" s="8"/>
      <c r="AG130" s="55">
        <v>-13371.59</v>
      </c>
      <c r="AH130" s="55"/>
      <c r="AI130" s="55">
        <v>216996.15</v>
      </c>
      <c r="AJ130" s="55"/>
      <c r="AK130" s="55">
        <v>203624.56</v>
      </c>
      <c r="AL130" s="8">
        <f>+'Gov Rev'!AI130-'Gov Exp'!AE130+'Gov Exp'!AI130-'Gov Exp'!AK130</f>
        <v>0</v>
      </c>
      <c r="AM130" s="6" t="str">
        <f>'Gov Rev'!A130</f>
        <v>Christiansburg</v>
      </c>
      <c r="AN130" s="6" t="str">
        <f t="shared" si="4"/>
        <v>Christiansburg</v>
      </c>
      <c r="AO130" s="6" t="b">
        <f t="shared" si="5"/>
        <v>1</v>
      </c>
    </row>
    <row r="131" spans="1:41" ht="12" customHeight="1" x14ac:dyDescent="0.2">
      <c r="A131" s="6" t="s">
        <v>845</v>
      </c>
      <c r="C131" s="6" t="s">
        <v>441</v>
      </c>
      <c r="E131" s="8">
        <v>0</v>
      </c>
      <c r="G131" s="8">
        <v>14756</v>
      </c>
      <c r="I131" s="8">
        <v>0</v>
      </c>
      <c r="K131" s="8">
        <v>0</v>
      </c>
      <c r="M131" s="8">
        <v>0</v>
      </c>
      <c r="O131" s="8">
        <v>5896</v>
      </c>
      <c r="Q131" s="8">
        <f>75436+15567</f>
        <v>91003</v>
      </c>
      <c r="S131" s="8">
        <v>0</v>
      </c>
      <c r="U131" s="8">
        <v>0</v>
      </c>
      <c r="W131" s="8">
        <v>0</v>
      </c>
      <c r="Y131" s="8">
        <v>10000</v>
      </c>
      <c r="AA131" s="8">
        <v>0</v>
      </c>
      <c r="AC131" s="8">
        <v>0</v>
      </c>
      <c r="AE131" s="8">
        <f t="shared" si="3"/>
        <v>121655</v>
      </c>
      <c r="AF131" s="8"/>
      <c r="AG131" s="55"/>
      <c r="AH131" s="55"/>
      <c r="AI131" s="55"/>
      <c r="AJ131" s="55"/>
      <c r="AK131" s="55"/>
      <c r="AL131" s="8">
        <f>+'Gov Rev'!AI131-'Gov Exp'!AE131+'Gov Exp'!AI131-'Gov Exp'!AK131</f>
        <v>217328</v>
      </c>
      <c r="AM131" s="6" t="str">
        <f>'Gov Rev'!A131</f>
        <v>Clarington</v>
      </c>
      <c r="AN131" s="6" t="str">
        <f t="shared" si="4"/>
        <v>Clarington</v>
      </c>
      <c r="AO131" s="6" t="b">
        <f t="shared" si="5"/>
        <v>1</v>
      </c>
    </row>
    <row r="132" spans="1:41" ht="12" customHeight="1" x14ac:dyDescent="0.2">
      <c r="A132" s="6" t="s">
        <v>196</v>
      </c>
      <c r="C132" s="6" t="s">
        <v>485</v>
      </c>
      <c r="E132" s="8">
        <v>4744</v>
      </c>
      <c r="G132" s="8">
        <v>0</v>
      </c>
      <c r="I132" s="8">
        <v>2794.98</v>
      </c>
      <c r="K132" s="8">
        <v>0</v>
      </c>
      <c r="M132" s="8">
        <v>1838.94</v>
      </c>
      <c r="O132" s="8">
        <v>14247.07</v>
      </c>
      <c r="Q132" s="8">
        <v>27943.05</v>
      </c>
      <c r="S132" s="8">
        <v>2067</v>
      </c>
      <c r="U132" s="8">
        <v>0</v>
      </c>
      <c r="W132" s="8">
        <v>0</v>
      </c>
      <c r="Y132" s="8">
        <v>0</v>
      </c>
      <c r="AA132" s="8">
        <v>0</v>
      </c>
      <c r="AC132" s="8">
        <v>0</v>
      </c>
      <c r="AE132" s="8">
        <f t="shared" si="3"/>
        <v>53635.039999999994</v>
      </c>
      <c r="AF132" s="8"/>
      <c r="AG132" s="55">
        <v>3060.99</v>
      </c>
      <c r="AH132" s="55"/>
      <c r="AI132" s="55">
        <v>104470.3</v>
      </c>
      <c r="AJ132" s="55"/>
      <c r="AK132" s="55">
        <v>107531.29</v>
      </c>
      <c r="AL132" s="8">
        <f>+'Gov Rev'!AI132-'Gov Exp'!AE132+'Gov Exp'!AI132-'Gov Exp'!AK132</f>
        <v>0</v>
      </c>
      <c r="AM132" s="6" t="str">
        <f>'Gov Rev'!A132</f>
        <v>Clarksburg</v>
      </c>
      <c r="AN132" s="6" t="str">
        <f t="shared" si="4"/>
        <v>Clarksburg</v>
      </c>
      <c r="AO132" s="6" t="b">
        <f t="shared" si="5"/>
        <v>1</v>
      </c>
    </row>
    <row r="133" spans="1:41" ht="12" customHeight="1" x14ac:dyDescent="0.2">
      <c r="A133" s="6" t="s">
        <v>165</v>
      </c>
      <c r="C133" s="6" t="s">
        <v>192</v>
      </c>
      <c r="E133" s="8">
        <v>14285.82</v>
      </c>
      <c r="G133" s="8">
        <v>0</v>
      </c>
      <c r="I133" s="8">
        <v>876.66</v>
      </c>
      <c r="K133" s="8">
        <v>17.989999999999998</v>
      </c>
      <c r="M133" s="8">
        <v>23055.26</v>
      </c>
      <c r="O133" s="8">
        <v>15241.23</v>
      </c>
      <c r="Q133" s="8">
        <v>35300.99</v>
      </c>
      <c r="S133" s="8">
        <v>20418.57</v>
      </c>
      <c r="U133" s="8">
        <v>15752.94</v>
      </c>
      <c r="W133" s="8">
        <v>0</v>
      </c>
      <c r="Y133" s="8">
        <v>65000</v>
      </c>
      <c r="AA133" s="8">
        <v>0</v>
      </c>
      <c r="AC133" s="8">
        <v>0</v>
      </c>
      <c r="AE133" s="8">
        <f t="shared" si="3"/>
        <v>189949.46</v>
      </c>
      <c r="AF133" s="8"/>
      <c r="AG133" s="55">
        <v>12777.32</v>
      </c>
      <c r="AH133" s="55"/>
      <c r="AI133" s="55">
        <v>302888.56</v>
      </c>
      <c r="AJ133" s="55"/>
      <c r="AK133" s="55">
        <v>315665.88</v>
      </c>
      <c r="AL133" s="8">
        <f>+'Gov Rev'!AI133-'Gov Exp'!AE133+'Gov Exp'!AI133-'Gov Exp'!AK133</f>
        <v>0</v>
      </c>
      <c r="AM133" s="6" t="str">
        <f>'Gov Rev'!A133</f>
        <v>Clay Center</v>
      </c>
      <c r="AN133" s="6" t="str">
        <f t="shared" si="4"/>
        <v>Clay Center</v>
      </c>
      <c r="AO133" s="6" t="b">
        <f t="shared" si="5"/>
        <v>1</v>
      </c>
    </row>
    <row r="134" spans="1:41" ht="12" customHeight="1" x14ac:dyDescent="0.2">
      <c r="A134" s="6" t="s">
        <v>722</v>
      </c>
      <c r="C134" s="6" t="s">
        <v>351</v>
      </c>
      <c r="E134" s="8">
        <v>511519.29</v>
      </c>
      <c r="G134" s="8">
        <v>3109.39</v>
      </c>
      <c r="I134" s="8">
        <v>39788</v>
      </c>
      <c r="K134" s="8">
        <v>39692.239999999998</v>
      </c>
      <c r="M134" s="8">
        <v>26395.25</v>
      </c>
      <c r="O134" s="8">
        <v>513988.54</v>
      </c>
      <c r="Q134" s="8">
        <v>239434.96</v>
      </c>
      <c r="S134" s="8">
        <v>577495.93000000005</v>
      </c>
      <c r="U134" s="8">
        <v>44751.21</v>
      </c>
      <c r="W134" s="8">
        <v>10521.61</v>
      </c>
      <c r="Y134" s="8">
        <v>4900</v>
      </c>
      <c r="AA134" s="8">
        <v>0</v>
      </c>
      <c r="AC134" s="8">
        <v>0</v>
      </c>
      <c r="AE134" s="8">
        <f t="shared" si="3"/>
        <v>2011596.4200000002</v>
      </c>
      <c r="AF134" s="8"/>
      <c r="AG134" s="55">
        <v>10207.879999999999</v>
      </c>
      <c r="AH134" s="55"/>
      <c r="AI134" s="55">
        <v>467199.76</v>
      </c>
      <c r="AJ134" s="55"/>
      <c r="AK134" s="55">
        <v>477407.64</v>
      </c>
      <c r="AL134" s="8">
        <f>+'Gov Rev'!AI134-'Gov Exp'!AE134+'Gov Exp'!AI134-'Gov Exp'!AK134</f>
        <v>0</v>
      </c>
      <c r="AM134" s="6" t="str">
        <f>'Gov Rev'!A134</f>
        <v>Cleves</v>
      </c>
      <c r="AN134" s="6" t="str">
        <f t="shared" si="4"/>
        <v>Cleves</v>
      </c>
      <c r="AO134" s="6" t="b">
        <f t="shared" si="5"/>
        <v>1</v>
      </c>
    </row>
    <row r="135" spans="1:41" ht="12" customHeight="1" x14ac:dyDescent="0.2">
      <c r="A135" s="6" t="s">
        <v>346</v>
      </c>
      <c r="C135" s="6" t="s">
        <v>347</v>
      </c>
      <c r="E135" s="8">
        <v>4056</v>
      </c>
      <c r="G135" s="8">
        <v>171</v>
      </c>
      <c r="I135" s="8">
        <v>20174</v>
      </c>
      <c r="K135" s="8">
        <v>16</v>
      </c>
      <c r="M135" s="8">
        <v>0</v>
      </c>
      <c r="O135" s="8">
        <v>13840</v>
      </c>
      <c r="Q135" s="8">
        <v>14209</v>
      </c>
      <c r="S135" s="8">
        <v>17780</v>
      </c>
      <c r="U135" s="8">
        <v>0</v>
      </c>
      <c r="W135" s="8">
        <v>0</v>
      </c>
      <c r="Y135" s="8">
        <v>0</v>
      </c>
      <c r="AE135" s="8">
        <f t="shared" si="3"/>
        <v>70246</v>
      </c>
      <c r="AF135" s="8"/>
      <c r="AG135" s="55"/>
      <c r="AH135" s="55"/>
      <c r="AI135" s="55"/>
      <c r="AJ135" s="55"/>
      <c r="AK135" s="55"/>
      <c r="AL135" s="8">
        <f>+'Gov Rev'!AI135-'Gov Exp'!AE135+'Gov Exp'!AI135-'Gov Exp'!AK135</f>
        <v>1805</v>
      </c>
      <c r="AM135" s="6" t="str">
        <f>'Gov Rev'!A135</f>
        <v>Clifton</v>
      </c>
      <c r="AN135" s="6" t="str">
        <f t="shared" si="4"/>
        <v>Clifton</v>
      </c>
      <c r="AO135" s="6" t="b">
        <f t="shared" si="5"/>
        <v>1</v>
      </c>
    </row>
    <row r="136" spans="1:41" ht="12" customHeight="1" x14ac:dyDescent="0.2">
      <c r="AE136" s="8"/>
      <c r="AF136" s="8"/>
      <c r="AG136" s="55"/>
      <c r="AH136" s="55"/>
      <c r="AI136" s="55"/>
      <c r="AJ136" s="55"/>
      <c r="AK136" s="55"/>
      <c r="AL136" s="8"/>
    </row>
    <row r="137" spans="1:41" ht="12" customHeight="1" x14ac:dyDescent="0.2">
      <c r="AE137" s="88" t="s">
        <v>733</v>
      </c>
      <c r="AF137" s="8"/>
      <c r="AG137" s="55"/>
      <c r="AH137" s="55"/>
      <c r="AI137" s="55"/>
      <c r="AJ137" s="55"/>
      <c r="AK137" s="55"/>
      <c r="AL137" s="8"/>
    </row>
    <row r="138" spans="1:41" ht="12" customHeight="1" x14ac:dyDescent="0.2">
      <c r="AE138" s="8"/>
      <c r="AF138" s="8"/>
      <c r="AG138" s="55"/>
      <c r="AH138" s="55"/>
      <c r="AI138" s="55"/>
      <c r="AJ138" s="55"/>
      <c r="AK138" s="55"/>
      <c r="AL138" s="8"/>
    </row>
    <row r="139" spans="1:41" ht="12" customHeight="1" x14ac:dyDescent="0.2">
      <c r="A139" s="6" t="s">
        <v>280</v>
      </c>
      <c r="C139" s="6" t="s">
        <v>511</v>
      </c>
      <c r="E139" s="54">
        <v>362170.36</v>
      </c>
      <c r="G139" s="18">
        <v>10870</v>
      </c>
      <c r="H139" s="18"/>
      <c r="I139" s="18">
        <v>25320</v>
      </c>
      <c r="J139" s="18"/>
      <c r="K139" s="18">
        <v>23144.91</v>
      </c>
      <c r="L139" s="18"/>
      <c r="M139" s="18">
        <v>0</v>
      </c>
      <c r="N139" s="18"/>
      <c r="O139" s="18">
        <v>119883.07</v>
      </c>
      <c r="P139" s="18"/>
      <c r="Q139" s="18">
        <v>84707.73</v>
      </c>
      <c r="R139" s="18"/>
      <c r="S139" s="18">
        <v>2364</v>
      </c>
      <c r="T139" s="18"/>
      <c r="U139" s="18">
        <v>0</v>
      </c>
      <c r="V139" s="18"/>
      <c r="W139" s="18">
        <v>0</v>
      </c>
      <c r="X139" s="18"/>
      <c r="Y139" s="18">
        <v>30260</v>
      </c>
      <c r="Z139" s="18"/>
      <c r="AA139" s="18">
        <v>0</v>
      </c>
      <c r="AB139" s="18"/>
      <c r="AC139" s="18">
        <v>0</v>
      </c>
      <c r="AD139" s="18"/>
      <c r="AE139" s="18">
        <f t="shared" si="3"/>
        <v>658720.06999999995</v>
      </c>
      <c r="AF139" s="18"/>
      <c r="AG139" s="64">
        <v>312564.40000000002</v>
      </c>
      <c r="AH139" s="64"/>
      <c r="AI139" s="64">
        <v>342793</v>
      </c>
      <c r="AJ139" s="64"/>
      <c r="AK139" s="64">
        <v>655357.4</v>
      </c>
      <c r="AL139" s="8">
        <f>+'Gov Rev'!AI136-'Gov Exp'!AE139+'Gov Exp'!AI139-'Gov Exp'!AK139</f>
        <v>0</v>
      </c>
      <c r="AM139" s="6" t="str">
        <f>'Gov Rev'!A136</f>
        <v>Clinton</v>
      </c>
      <c r="AN139" s="6" t="str">
        <f t="shared" si="4"/>
        <v>Clinton</v>
      </c>
      <c r="AO139" s="6" t="b">
        <f t="shared" si="5"/>
        <v>1</v>
      </c>
    </row>
    <row r="140" spans="1:41" ht="12" customHeight="1" x14ac:dyDescent="0.2">
      <c r="A140" s="6" t="s">
        <v>117</v>
      </c>
      <c r="C140" s="6" t="s">
        <v>406</v>
      </c>
      <c r="E140" s="8">
        <v>411747.64</v>
      </c>
      <c r="G140" s="8">
        <v>0</v>
      </c>
      <c r="I140" s="8">
        <v>9312.2099999999991</v>
      </c>
      <c r="K140" s="8">
        <v>269.5</v>
      </c>
      <c r="M140" s="8">
        <v>0</v>
      </c>
      <c r="O140" s="8">
        <v>104131.02</v>
      </c>
      <c r="Q140" s="8">
        <v>131613.10999999999</v>
      </c>
      <c r="S140" s="8">
        <v>44845.919999999998</v>
      </c>
      <c r="U140" s="8">
        <v>0</v>
      </c>
      <c r="W140" s="8">
        <v>0</v>
      </c>
      <c r="Y140" s="8">
        <v>0</v>
      </c>
      <c r="AA140" s="8">
        <v>64000</v>
      </c>
      <c r="AC140" s="8">
        <v>0</v>
      </c>
      <c r="AE140" s="8">
        <f t="shared" si="3"/>
        <v>765919.4</v>
      </c>
      <c r="AF140" s="8"/>
      <c r="AG140" s="55">
        <v>87472.21</v>
      </c>
      <c r="AH140" s="55"/>
      <c r="AI140" s="55">
        <v>137463.01999999999</v>
      </c>
      <c r="AJ140" s="55"/>
      <c r="AK140" s="55">
        <v>224935.23</v>
      </c>
      <c r="AL140" s="8">
        <f>+'Gov Rev'!AI137-'Gov Exp'!AE140+'Gov Exp'!AI140-'Gov Exp'!AK140</f>
        <v>0</v>
      </c>
      <c r="AM140" s="6" t="str">
        <f>'Gov Rev'!A137</f>
        <v>Coal Grove</v>
      </c>
      <c r="AN140" s="6" t="str">
        <f t="shared" si="4"/>
        <v>Coal Grove</v>
      </c>
      <c r="AO140" s="6" t="b">
        <f t="shared" si="5"/>
        <v>1</v>
      </c>
    </row>
    <row r="141" spans="1:41" s="14" customFormat="1" ht="12" customHeight="1" x14ac:dyDescent="0.2">
      <c r="A141" s="6" t="s">
        <v>617</v>
      </c>
      <c r="B141" s="6"/>
      <c r="C141" s="6" t="s">
        <v>850</v>
      </c>
      <c r="D141" s="6"/>
      <c r="E141" s="8">
        <v>85199.41</v>
      </c>
      <c r="F141" s="8"/>
      <c r="G141" s="8">
        <v>598.34</v>
      </c>
      <c r="H141" s="8"/>
      <c r="I141" s="8">
        <v>0</v>
      </c>
      <c r="J141" s="8"/>
      <c r="K141" s="8">
        <v>0</v>
      </c>
      <c r="L141" s="8"/>
      <c r="M141" s="8">
        <v>5962</v>
      </c>
      <c r="N141" s="8"/>
      <c r="O141" s="8">
        <v>18272.66</v>
      </c>
      <c r="P141" s="8"/>
      <c r="Q141" s="8">
        <v>47937.34</v>
      </c>
      <c r="R141" s="8"/>
      <c r="S141" s="8">
        <v>10050.65</v>
      </c>
      <c r="T141" s="8"/>
      <c r="U141" s="8">
        <v>0</v>
      </c>
      <c r="V141" s="8"/>
      <c r="W141" s="8">
        <v>0</v>
      </c>
      <c r="X141" s="8"/>
      <c r="Y141" s="8">
        <v>10000</v>
      </c>
      <c r="Z141" s="8"/>
      <c r="AA141" s="8">
        <v>0</v>
      </c>
      <c r="AB141" s="8"/>
      <c r="AC141" s="8">
        <v>1500</v>
      </c>
      <c r="AD141" s="8"/>
      <c r="AE141" s="8">
        <f t="shared" si="3"/>
        <v>179520.4</v>
      </c>
      <c r="AF141" s="8"/>
      <c r="AG141" s="55">
        <v>-14858.9</v>
      </c>
      <c r="AH141" s="55"/>
      <c r="AI141" s="55">
        <v>253552.29</v>
      </c>
      <c r="AJ141" s="55"/>
      <c r="AK141" s="55">
        <v>238693.39</v>
      </c>
      <c r="AL141" s="8">
        <f>+'Gov Rev'!AI138-'Gov Exp'!AE141+'Gov Exp'!AI141-'Gov Exp'!AK141</f>
        <v>0</v>
      </c>
      <c r="AM141" s="6" t="str">
        <f>'Gov Rev'!A138</f>
        <v>Coalton</v>
      </c>
      <c r="AN141" s="6" t="str">
        <f t="shared" si="4"/>
        <v>Coalton</v>
      </c>
      <c r="AO141" s="6" t="b">
        <f t="shared" si="5"/>
        <v>1</v>
      </c>
    </row>
    <row r="142" spans="1:41" ht="12" customHeight="1" x14ac:dyDescent="0.2">
      <c r="A142" s="6" t="s">
        <v>767</v>
      </c>
      <c r="C142" s="6" t="s">
        <v>433</v>
      </c>
      <c r="D142" s="11"/>
      <c r="E142" s="8">
        <v>888354</v>
      </c>
      <c r="G142" s="8">
        <v>25224</v>
      </c>
      <c r="I142" s="8">
        <v>204010</v>
      </c>
      <c r="K142" s="8">
        <v>15358</v>
      </c>
      <c r="M142" s="8">
        <v>0</v>
      </c>
      <c r="O142" s="8">
        <v>633408</v>
      </c>
      <c r="Q142" s="8">
        <v>716136</v>
      </c>
      <c r="S142" s="8">
        <v>188194</v>
      </c>
      <c r="U142" s="8">
        <v>308469</v>
      </c>
      <c r="W142" s="8">
        <v>0</v>
      </c>
      <c r="Y142" s="8">
        <v>0</v>
      </c>
      <c r="AA142" s="8">
        <v>0</v>
      </c>
      <c r="AC142" s="8">
        <v>966043</v>
      </c>
      <c r="AE142" s="8">
        <f t="shared" si="3"/>
        <v>3945196</v>
      </c>
      <c r="AF142" s="8"/>
      <c r="AG142" s="55"/>
      <c r="AH142" s="55"/>
      <c r="AI142" s="55"/>
      <c r="AJ142" s="55"/>
      <c r="AK142" s="55"/>
      <c r="AL142" s="8">
        <f>+'Gov Rev'!AI139-'Gov Exp'!AE142+'Gov Exp'!AI142-'Gov Exp'!AK142</f>
        <v>9072</v>
      </c>
      <c r="AM142" s="6" t="str">
        <f>'Gov Rev'!A139</f>
        <v>Coldwater</v>
      </c>
      <c r="AN142" s="6" t="str">
        <f t="shared" si="4"/>
        <v>Coldwater</v>
      </c>
      <c r="AO142" s="6" t="b">
        <f t="shared" si="5"/>
        <v>1</v>
      </c>
    </row>
    <row r="143" spans="1:41" ht="12" customHeight="1" x14ac:dyDescent="0.2">
      <c r="A143" s="6" t="s">
        <v>184</v>
      </c>
      <c r="C143" s="6" t="s">
        <v>472</v>
      </c>
      <c r="E143" s="8">
        <v>45881.25</v>
      </c>
      <c r="G143" s="8">
        <v>0</v>
      </c>
      <c r="I143" s="8">
        <v>0</v>
      </c>
      <c r="K143" s="8">
        <v>0</v>
      </c>
      <c r="M143" s="8">
        <v>0</v>
      </c>
      <c r="O143" s="8">
        <v>27016.22</v>
      </c>
      <c r="Q143" s="8">
        <v>33272.78</v>
      </c>
      <c r="S143" s="8">
        <v>10500</v>
      </c>
      <c r="U143" s="8">
        <v>0</v>
      </c>
      <c r="W143" s="8">
        <v>0</v>
      </c>
      <c r="Y143" s="8">
        <v>0</v>
      </c>
      <c r="AA143" s="8">
        <v>0</v>
      </c>
      <c r="AC143" s="8">
        <v>749.49</v>
      </c>
      <c r="AE143" s="8">
        <f t="shared" ref="AE143:AE209" si="6">SUM(E143:AC143)</f>
        <v>117419.74</v>
      </c>
      <c r="AF143" s="8"/>
      <c r="AG143" s="55">
        <v>7416.98</v>
      </c>
      <c r="AH143" s="55"/>
      <c r="AI143" s="55">
        <v>193930.71</v>
      </c>
      <c r="AJ143" s="55"/>
      <c r="AK143" s="55">
        <v>201347.69</v>
      </c>
      <c r="AL143" s="8">
        <f>+'Gov Rev'!AI143-'Gov Exp'!AE143+'Gov Exp'!AI143-'Gov Exp'!AK143</f>
        <v>0</v>
      </c>
      <c r="AM143" s="6" t="str">
        <f>'Gov Rev'!A143</f>
        <v>College Corner</v>
      </c>
      <c r="AN143" s="6" t="str">
        <f t="shared" ref="AN143:AN209" si="7">A143</f>
        <v>College Corner</v>
      </c>
      <c r="AO143" s="6" t="b">
        <f t="shared" ref="AO143:AO209" si="8">AM143=AN143</f>
        <v>1</v>
      </c>
    </row>
    <row r="144" spans="1:41" ht="12" customHeight="1" x14ac:dyDescent="0.2">
      <c r="A144" s="6" t="s">
        <v>856</v>
      </c>
      <c r="C144" s="6" t="s">
        <v>467</v>
      </c>
      <c r="E144" s="8">
        <v>125800.76</v>
      </c>
      <c r="G144" s="8">
        <v>6124.54</v>
      </c>
      <c r="I144" s="8">
        <v>1001.43</v>
      </c>
      <c r="K144" s="8">
        <v>68059.11</v>
      </c>
      <c r="M144" s="8">
        <v>1049.06</v>
      </c>
      <c r="O144" s="8">
        <v>309004.31</v>
      </c>
      <c r="Q144" s="8">
        <v>92666.37</v>
      </c>
      <c r="S144" s="8">
        <v>0</v>
      </c>
      <c r="U144" s="8">
        <v>0</v>
      </c>
      <c r="W144" s="8">
        <v>0</v>
      </c>
      <c r="Y144" s="8">
        <v>0</v>
      </c>
      <c r="AA144" s="8">
        <v>0</v>
      </c>
      <c r="AC144" s="8">
        <v>0</v>
      </c>
      <c r="AE144" s="8">
        <f t="shared" si="6"/>
        <v>603705.57999999996</v>
      </c>
      <c r="AF144" s="8"/>
      <c r="AG144" s="55">
        <v>46978.95</v>
      </c>
      <c r="AH144" s="55"/>
      <c r="AI144" s="55">
        <v>917327.68</v>
      </c>
      <c r="AJ144" s="55"/>
      <c r="AK144" s="55">
        <v>964306.63</v>
      </c>
      <c r="AL144" s="8">
        <f>+'Gov Rev'!AI144-'Gov Exp'!AE144+'Gov Exp'!AI144-'Gov Exp'!AK144</f>
        <v>0</v>
      </c>
      <c r="AM144" s="6" t="str">
        <f>'Gov Rev'!A144</f>
        <v>Commercial Point</v>
      </c>
      <c r="AN144" s="6" t="str">
        <f t="shared" si="7"/>
        <v>Commercial Point</v>
      </c>
      <c r="AO144" s="6" t="b">
        <f t="shared" si="8"/>
        <v>1</v>
      </c>
    </row>
    <row r="145" spans="1:41" ht="12" customHeight="1" x14ac:dyDescent="0.2">
      <c r="A145" s="6" t="s">
        <v>796</v>
      </c>
      <c r="C145" s="6" t="s">
        <v>547</v>
      </c>
      <c r="E145" s="8">
        <v>0</v>
      </c>
      <c r="G145" s="8">
        <v>0</v>
      </c>
      <c r="I145" s="8">
        <v>0</v>
      </c>
      <c r="K145" s="8">
        <v>0</v>
      </c>
      <c r="M145" s="8">
        <v>0</v>
      </c>
      <c r="O145" s="8">
        <v>14115.07</v>
      </c>
      <c r="Q145" s="8">
        <v>20026.650000000001</v>
      </c>
      <c r="S145" s="8">
        <v>0</v>
      </c>
      <c r="U145" s="8">
        <v>0</v>
      </c>
      <c r="W145" s="8">
        <v>0</v>
      </c>
      <c r="Y145" s="8">
        <v>0</v>
      </c>
      <c r="AA145" s="8">
        <v>0</v>
      </c>
      <c r="AC145" s="8">
        <v>2002.96</v>
      </c>
      <c r="AE145" s="8">
        <f t="shared" si="6"/>
        <v>36144.68</v>
      </c>
      <c r="AF145" s="8"/>
      <c r="AG145" s="55">
        <v>4110.34</v>
      </c>
      <c r="AH145" s="55"/>
      <c r="AI145" s="55">
        <v>21872.92</v>
      </c>
      <c r="AJ145" s="55"/>
      <c r="AK145" s="55">
        <v>25983.26</v>
      </c>
      <c r="AL145" s="8">
        <f>+'Gov Rev'!AI145-'Gov Exp'!AE145+'Gov Exp'!AI145-'Gov Exp'!AK145</f>
        <v>0</v>
      </c>
      <c r="AM145" s="6" t="str">
        <f>'Gov Rev'!A145</f>
        <v>Congress</v>
      </c>
      <c r="AN145" s="6" t="str">
        <f t="shared" si="7"/>
        <v>Congress</v>
      </c>
      <c r="AO145" s="6" t="b">
        <f t="shared" si="8"/>
        <v>1</v>
      </c>
    </row>
    <row r="146" spans="1:41" ht="12" customHeight="1" x14ac:dyDescent="0.2">
      <c r="A146" s="6" t="s">
        <v>187</v>
      </c>
      <c r="C146" s="6" t="s">
        <v>476</v>
      </c>
      <c r="E146" s="8">
        <v>182872.06</v>
      </c>
      <c r="G146" s="8">
        <v>0</v>
      </c>
      <c r="I146" s="8">
        <v>0</v>
      </c>
      <c r="K146" s="8">
        <v>0</v>
      </c>
      <c r="M146" s="8">
        <v>7409.94</v>
      </c>
      <c r="O146" s="8">
        <v>72616.600000000006</v>
      </c>
      <c r="Q146" s="8">
        <v>92796</v>
      </c>
      <c r="S146" s="8">
        <v>32779.269999999997</v>
      </c>
      <c r="U146" s="8">
        <v>39354.339999999997</v>
      </c>
      <c r="W146" s="8">
        <v>20913.89</v>
      </c>
      <c r="Y146" s="8">
        <v>26722</v>
      </c>
      <c r="AA146" s="8">
        <v>90049</v>
      </c>
      <c r="AC146" s="8">
        <v>0</v>
      </c>
      <c r="AE146" s="8">
        <f t="shared" si="6"/>
        <v>565513.1</v>
      </c>
      <c r="AF146" s="8"/>
      <c r="AG146" s="55">
        <v>213131.58</v>
      </c>
      <c r="AH146" s="55"/>
      <c r="AI146" s="55">
        <v>395857.42</v>
      </c>
      <c r="AJ146" s="55"/>
      <c r="AK146" s="55">
        <v>608989</v>
      </c>
      <c r="AL146" s="8">
        <f>+'Gov Rev'!AI146-'Gov Exp'!AE146+'Gov Exp'!AI146-'Gov Exp'!AK146</f>
        <v>0</v>
      </c>
      <c r="AM146" s="6" t="str">
        <f>'Gov Rev'!A146</f>
        <v>Continental</v>
      </c>
      <c r="AN146" s="6" t="str">
        <f t="shared" si="7"/>
        <v>Continental</v>
      </c>
      <c r="AO146" s="6" t="b">
        <f t="shared" si="8"/>
        <v>1</v>
      </c>
    </row>
    <row r="147" spans="1:41" ht="12" customHeight="1" x14ac:dyDescent="0.2">
      <c r="A147" s="6" t="s">
        <v>223</v>
      </c>
      <c r="C147" s="6" t="s">
        <v>532</v>
      </c>
      <c r="E147" s="8">
        <v>133921.73000000001</v>
      </c>
      <c r="G147" s="8">
        <v>6371.18</v>
      </c>
      <c r="I147" s="8">
        <v>0</v>
      </c>
      <c r="K147" s="8">
        <v>2977.38</v>
      </c>
      <c r="M147" s="8">
        <v>5840</v>
      </c>
      <c r="O147" s="8">
        <v>137301.99</v>
      </c>
      <c r="Q147" s="8">
        <v>117708.28</v>
      </c>
      <c r="S147" s="8">
        <v>909878.91</v>
      </c>
      <c r="U147" s="8">
        <v>26900</v>
      </c>
      <c r="W147" s="8">
        <v>0</v>
      </c>
      <c r="Y147" s="8">
        <v>0</v>
      </c>
      <c r="AA147" s="8">
        <v>0</v>
      </c>
      <c r="AC147" s="8">
        <v>0</v>
      </c>
      <c r="AE147" s="8">
        <f t="shared" si="6"/>
        <v>1340899.4700000002</v>
      </c>
      <c r="AF147" s="8"/>
      <c r="AG147" s="55">
        <v>-35721.919999999998</v>
      </c>
      <c r="AH147" s="55"/>
      <c r="AI147" s="55">
        <v>687193.66</v>
      </c>
      <c r="AJ147" s="55"/>
      <c r="AK147" s="55">
        <v>651471.74</v>
      </c>
      <c r="AL147" s="8">
        <f>+'Gov Rev'!AI147-'Gov Exp'!AE147+'Gov Exp'!AI147-'Gov Exp'!AK147</f>
        <v>0</v>
      </c>
      <c r="AM147" s="6" t="str">
        <f>'Gov Rev'!A147</f>
        <v>Convoy</v>
      </c>
      <c r="AN147" s="6" t="str">
        <f t="shared" si="7"/>
        <v>Convoy</v>
      </c>
      <c r="AO147" s="6" t="b">
        <f t="shared" si="8"/>
        <v>1</v>
      </c>
    </row>
    <row r="148" spans="1:41" ht="12" customHeight="1" x14ac:dyDescent="0.2">
      <c r="A148" s="6" t="s">
        <v>797</v>
      </c>
      <c r="C148" s="6" t="s">
        <v>253</v>
      </c>
      <c r="E148" s="8">
        <v>16499.71</v>
      </c>
      <c r="G148" s="8">
        <v>0</v>
      </c>
      <c r="I148" s="8">
        <v>0</v>
      </c>
      <c r="K148" s="8">
        <v>0</v>
      </c>
      <c r="M148" s="8">
        <v>9823.4</v>
      </c>
      <c r="O148" s="8">
        <v>32421.08</v>
      </c>
      <c r="Q148" s="8">
        <v>21134.57</v>
      </c>
      <c r="S148" s="8">
        <v>0</v>
      </c>
      <c r="U148" s="8">
        <v>0</v>
      </c>
      <c r="W148" s="8">
        <v>0</v>
      </c>
      <c r="Y148" s="8">
        <v>0</v>
      </c>
      <c r="AA148" s="8">
        <v>0</v>
      </c>
      <c r="AC148" s="8">
        <v>0</v>
      </c>
      <c r="AE148" s="8">
        <f t="shared" si="6"/>
        <v>79878.760000000009</v>
      </c>
      <c r="AF148" s="8"/>
      <c r="AG148" s="55">
        <v>11127.73</v>
      </c>
      <c r="AH148" s="55"/>
      <c r="AI148" s="55">
        <v>80908.460000000006</v>
      </c>
      <c r="AJ148" s="55"/>
      <c r="AK148" s="55">
        <v>92036.19</v>
      </c>
      <c r="AL148" s="8">
        <f>+'Gov Rev'!AI148-'Gov Exp'!AE148+'Gov Exp'!AI148-'Gov Exp'!AK148</f>
        <v>0</v>
      </c>
      <c r="AM148" s="6" t="str">
        <f>'Gov Rev'!A148</f>
        <v>Coolville</v>
      </c>
      <c r="AN148" s="6" t="str">
        <f t="shared" si="7"/>
        <v>Coolville</v>
      </c>
      <c r="AO148" s="6" t="b">
        <f t="shared" si="8"/>
        <v>1</v>
      </c>
    </row>
    <row r="149" spans="1:41" ht="12" customHeight="1" x14ac:dyDescent="0.2">
      <c r="A149" s="6" t="s">
        <v>172</v>
      </c>
      <c r="C149" s="6" t="s">
        <v>464</v>
      </c>
      <c r="E149" s="8">
        <v>143841.43</v>
      </c>
      <c r="G149" s="8">
        <v>6811.28</v>
      </c>
      <c r="I149" s="8">
        <v>759.63</v>
      </c>
      <c r="K149" s="8">
        <v>0</v>
      </c>
      <c r="M149" s="8">
        <v>0</v>
      </c>
      <c r="O149" s="8">
        <v>18961.37</v>
      </c>
      <c r="Q149" s="8">
        <v>30922.15</v>
      </c>
      <c r="S149" s="8">
        <v>0</v>
      </c>
      <c r="U149" s="8">
        <v>8933.66</v>
      </c>
      <c r="W149" s="8">
        <v>3326.73</v>
      </c>
      <c r="Y149" s="8">
        <v>0</v>
      </c>
      <c r="AA149" s="8">
        <v>0</v>
      </c>
      <c r="AC149" s="8">
        <v>0</v>
      </c>
      <c r="AE149" s="8">
        <f t="shared" si="6"/>
        <v>213556.25</v>
      </c>
      <c r="AF149" s="8"/>
      <c r="AG149" s="55">
        <v>31495.99</v>
      </c>
      <c r="AH149" s="55"/>
      <c r="AI149" s="55">
        <v>279672</v>
      </c>
      <c r="AJ149" s="55"/>
      <c r="AK149" s="55">
        <v>311167.99</v>
      </c>
      <c r="AL149" s="8">
        <f>+'Gov Rev'!AI149-'Gov Exp'!AE149+'Gov Exp'!AI149-'Gov Exp'!AK149</f>
        <v>0</v>
      </c>
      <c r="AM149" s="6" t="str">
        <f>'Gov Rev'!A149</f>
        <v>Corning</v>
      </c>
      <c r="AN149" s="6" t="str">
        <f t="shared" si="7"/>
        <v>Corning</v>
      </c>
      <c r="AO149" s="6" t="b">
        <f t="shared" si="8"/>
        <v>1</v>
      </c>
    </row>
    <row r="150" spans="1:41" ht="12" customHeight="1" x14ac:dyDescent="0.2">
      <c r="A150" s="6" t="s">
        <v>539</v>
      </c>
      <c r="C150" s="6" t="s">
        <v>541</v>
      </c>
      <c r="E150" s="8">
        <v>4228</v>
      </c>
      <c r="G150" s="8">
        <v>0</v>
      </c>
      <c r="I150" s="8">
        <v>0</v>
      </c>
      <c r="K150" s="8">
        <v>1905</v>
      </c>
      <c r="M150" s="8">
        <v>0</v>
      </c>
      <c r="O150" s="8">
        <v>8740</v>
      </c>
      <c r="Q150" s="8">
        <v>30503</v>
      </c>
      <c r="S150" s="8">
        <v>0</v>
      </c>
      <c r="U150" s="8">
        <v>0</v>
      </c>
      <c r="W150" s="8">
        <v>0</v>
      </c>
      <c r="Y150" s="8">
        <v>0</v>
      </c>
      <c r="AA150" s="8">
        <v>0</v>
      </c>
      <c r="AC150" s="8">
        <v>0</v>
      </c>
      <c r="AE150" s="8">
        <f t="shared" si="6"/>
        <v>45376</v>
      </c>
      <c r="AF150" s="8"/>
      <c r="AG150" s="55"/>
      <c r="AH150" s="55"/>
      <c r="AI150" s="55"/>
      <c r="AJ150" s="55"/>
      <c r="AK150" s="55"/>
      <c r="AL150" s="8">
        <f>+'Gov Rev'!AI150-'Gov Exp'!AE150+'Gov Exp'!AI150-'Gov Exp'!AK150</f>
        <v>95028</v>
      </c>
      <c r="AM150" s="6" t="str">
        <f>'Gov Rev'!A150</f>
        <v>Corwin</v>
      </c>
      <c r="AN150" s="6" t="str">
        <f t="shared" si="7"/>
        <v>Corwin</v>
      </c>
      <c r="AO150" s="6" t="b">
        <f t="shared" si="8"/>
        <v>1</v>
      </c>
    </row>
    <row r="151" spans="1:41" s="14" customFormat="1" ht="12" customHeight="1" x14ac:dyDescent="0.2">
      <c r="A151" s="6" t="s">
        <v>768</v>
      </c>
      <c r="B151" s="6"/>
      <c r="C151" s="6" t="s">
        <v>437</v>
      </c>
      <c r="D151" s="11"/>
      <c r="E151" s="8">
        <f>532994+40397</f>
        <v>573391</v>
      </c>
      <c r="F151" s="8"/>
      <c r="G151" s="8">
        <v>91801</v>
      </c>
      <c r="H151" s="8"/>
      <c r="I151" s="8">
        <v>10143</v>
      </c>
      <c r="J151" s="8"/>
      <c r="K151" s="8">
        <v>0</v>
      </c>
      <c r="L151" s="8"/>
      <c r="M151" s="8">
        <v>0</v>
      </c>
      <c r="N151" s="8"/>
      <c r="O151" s="8">
        <v>175380</v>
      </c>
      <c r="P151" s="8"/>
      <c r="Q151" s="8">
        <v>234344</v>
      </c>
      <c r="R151" s="8"/>
      <c r="S151" s="8">
        <f>2532+3304+51272</f>
        <v>57108</v>
      </c>
      <c r="T151" s="8"/>
      <c r="U151" s="8">
        <f>90000+11304+148825</f>
        <v>250129</v>
      </c>
      <c r="V151" s="8"/>
      <c r="W151" s="8">
        <f>11475+6475</f>
        <v>17950</v>
      </c>
      <c r="X151" s="8"/>
      <c r="Y151" s="8">
        <f>60000+105000</f>
        <v>165000</v>
      </c>
      <c r="Z151" s="8"/>
      <c r="AA151" s="8">
        <v>0</v>
      </c>
      <c r="AB151" s="8"/>
      <c r="AC151" s="8">
        <v>0</v>
      </c>
      <c r="AD151" s="8"/>
      <c r="AE151" s="8">
        <f t="shared" si="6"/>
        <v>1575246</v>
      </c>
      <c r="AF151" s="8"/>
      <c r="AG151" s="55"/>
      <c r="AH151" s="55"/>
      <c r="AI151" s="55"/>
      <c r="AJ151" s="55"/>
      <c r="AK151" s="55"/>
      <c r="AL151" s="8">
        <f>+'Gov Rev'!AI151-'Gov Exp'!AE151+'Gov Exp'!AI151-'Gov Exp'!AK151</f>
        <v>-32492</v>
      </c>
      <c r="AM151" s="6" t="str">
        <f>'Gov Rev'!A151</f>
        <v>Covington</v>
      </c>
      <c r="AN151" s="6" t="str">
        <f t="shared" si="7"/>
        <v>Covington</v>
      </c>
      <c r="AO151" s="6" t="b">
        <f t="shared" si="8"/>
        <v>1</v>
      </c>
    </row>
    <row r="152" spans="1:41" s="18" customFormat="1" ht="12" customHeight="1" x14ac:dyDescent="0.2">
      <c r="A152" s="6" t="s">
        <v>135</v>
      </c>
      <c r="B152" s="6"/>
      <c r="C152" s="6" t="s">
        <v>429</v>
      </c>
      <c r="D152" s="6"/>
      <c r="E152" s="8">
        <v>67483.42</v>
      </c>
      <c r="F152" s="8"/>
      <c r="G152" s="8">
        <v>5457.03</v>
      </c>
      <c r="H152" s="8"/>
      <c r="I152" s="8">
        <v>0</v>
      </c>
      <c r="J152" s="8"/>
      <c r="K152" s="8">
        <v>3069.95</v>
      </c>
      <c r="L152" s="8"/>
      <c r="M152" s="8">
        <v>7621.46</v>
      </c>
      <c r="N152" s="8"/>
      <c r="O152" s="8">
        <v>40645.72</v>
      </c>
      <c r="P152" s="8"/>
      <c r="Q152" s="8">
        <v>68104.7</v>
      </c>
      <c r="R152" s="8"/>
      <c r="S152" s="8">
        <v>11925</v>
      </c>
      <c r="T152" s="8"/>
      <c r="U152" s="8">
        <v>0</v>
      </c>
      <c r="V152" s="8"/>
      <c r="W152" s="8">
        <v>0</v>
      </c>
      <c r="X152" s="8"/>
      <c r="Y152" s="8">
        <v>0</v>
      </c>
      <c r="Z152" s="8"/>
      <c r="AA152" s="8">
        <v>0</v>
      </c>
      <c r="AB152" s="8"/>
      <c r="AC152" s="8">
        <v>0</v>
      </c>
      <c r="AD152" s="8"/>
      <c r="AE152" s="8">
        <f t="shared" si="6"/>
        <v>204307.28</v>
      </c>
      <c r="AF152" s="8"/>
      <c r="AG152" s="55">
        <v>51616.56</v>
      </c>
      <c r="AH152" s="55"/>
      <c r="AI152" s="55">
        <v>417802.35</v>
      </c>
      <c r="AJ152" s="55"/>
      <c r="AK152" s="55">
        <v>469418.91</v>
      </c>
      <c r="AL152" s="8">
        <f>+'Gov Rev'!AI152-'Gov Exp'!AE152+'Gov Exp'!AI152-'Gov Exp'!AK152</f>
        <v>0</v>
      </c>
      <c r="AM152" s="6" t="str">
        <f>'Gov Rev'!A152</f>
        <v>Craig Beach</v>
      </c>
      <c r="AN152" s="6" t="str">
        <f t="shared" si="7"/>
        <v>Craig Beach</v>
      </c>
      <c r="AO152" s="6" t="b">
        <f t="shared" si="8"/>
        <v>1</v>
      </c>
    </row>
    <row r="153" spans="1:41" ht="12" customHeight="1" x14ac:dyDescent="0.2">
      <c r="A153" s="6" t="s">
        <v>826</v>
      </c>
      <c r="C153" s="6" t="s">
        <v>289</v>
      </c>
      <c r="D153" s="11"/>
      <c r="E153" s="8">
        <v>1188277</v>
      </c>
      <c r="G153" s="8">
        <v>0</v>
      </c>
      <c r="I153" s="8">
        <v>113712</v>
      </c>
      <c r="K153" s="8">
        <v>26865</v>
      </c>
      <c r="M153" s="8">
        <v>0</v>
      </c>
      <c r="O153" s="8">
        <v>310672</v>
      </c>
      <c r="Q153" s="8">
        <v>293136</v>
      </c>
      <c r="S153" s="8">
        <v>116856</v>
      </c>
      <c r="U153" s="8">
        <v>42963</v>
      </c>
      <c r="W153" s="8">
        <v>6735</v>
      </c>
      <c r="Y153" s="8">
        <v>7327</v>
      </c>
      <c r="AA153" s="8">
        <v>0</v>
      </c>
      <c r="AC153" s="8">
        <v>0</v>
      </c>
      <c r="AE153" s="8">
        <f t="shared" si="6"/>
        <v>2106543</v>
      </c>
      <c r="AF153" s="8"/>
      <c r="AG153" s="55"/>
      <c r="AH153" s="55"/>
      <c r="AI153" s="55"/>
      <c r="AJ153" s="55"/>
      <c r="AK153" s="55"/>
      <c r="AL153" s="8">
        <f>+'Gov Rev'!AI153-'Gov Exp'!AE153+'Gov Exp'!AI153-'Gov Exp'!AK153</f>
        <v>84439</v>
      </c>
      <c r="AM153" s="6" t="str">
        <f>'Gov Rev'!A153</f>
        <v>Crestline</v>
      </c>
      <c r="AN153" s="6" t="str">
        <f t="shared" si="7"/>
        <v>Crestline</v>
      </c>
      <c r="AO153" s="6" t="b">
        <f t="shared" si="8"/>
        <v>1</v>
      </c>
    </row>
    <row r="154" spans="1:41" ht="12" customHeight="1" x14ac:dyDescent="0.2">
      <c r="A154" s="6" t="s">
        <v>548</v>
      </c>
      <c r="C154" s="6" t="s">
        <v>547</v>
      </c>
      <c r="E154" s="8">
        <v>270009.68</v>
      </c>
      <c r="G154" s="8">
        <v>19846.73</v>
      </c>
      <c r="I154" s="8">
        <v>17358.849999999999</v>
      </c>
      <c r="K154" s="8">
        <v>0</v>
      </c>
      <c r="M154" s="8">
        <v>0</v>
      </c>
      <c r="O154" s="8">
        <v>136012.24</v>
      </c>
      <c r="Q154" s="8">
        <v>206018.1</v>
      </c>
      <c r="S154" s="8">
        <v>363401.98</v>
      </c>
      <c r="U154" s="8">
        <v>40142.480000000003</v>
      </c>
      <c r="W154" s="8">
        <v>11026.24</v>
      </c>
      <c r="Y154" s="8">
        <v>163500</v>
      </c>
      <c r="AA154" s="8">
        <v>0</v>
      </c>
      <c r="AC154" s="8">
        <v>13680.46</v>
      </c>
      <c r="AE154" s="8">
        <f t="shared" si="6"/>
        <v>1240996.76</v>
      </c>
      <c r="AF154" s="8"/>
      <c r="AG154" s="55">
        <v>-70868.160000000003</v>
      </c>
      <c r="AH154" s="55"/>
      <c r="AI154" s="55">
        <v>1181155.2</v>
      </c>
      <c r="AJ154" s="55"/>
      <c r="AK154" s="55">
        <v>1110287.04</v>
      </c>
      <c r="AL154" s="8">
        <f>+'Gov Rev'!AI154-'Gov Exp'!AE154+'Gov Exp'!AI154-'Gov Exp'!AK154</f>
        <v>0</v>
      </c>
      <c r="AM154" s="6" t="str">
        <f>'Gov Rev'!A154</f>
        <v>Creston</v>
      </c>
      <c r="AN154" s="6" t="str">
        <f t="shared" si="7"/>
        <v>Creston</v>
      </c>
      <c r="AO154" s="6" t="b">
        <f t="shared" si="8"/>
        <v>1</v>
      </c>
    </row>
    <row r="155" spans="1:41" ht="12" customHeight="1" x14ac:dyDescent="0.2">
      <c r="A155" s="6" t="s">
        <v>256</v>
      </c>
      <c r="C155" s="6" t="s">
        <v>257</v>
      </c>
      <c r="E155" s="8">
        <f>363338+67418</f>
        <v>430756</v>
      </c>
      <c r="G155" s="8">
        <v>0</v>
      </c>
      <c r="I155" s="8">
        <v>15023</v>
      </c>
      <c r="K155" s="8">
        <v>9500</v>
      </c>
      <c r="M155" s="8">
        <v>1739</v>
      </c>
      <c r="O155" s="8">
        <f>138167+160269</f>
        <v>298436</v>
      </c>
      <c r="Q155" s="8">
        <v>180053</v>
      </c>
      <c r="S155" s="8">
        <v>0</v>
      </c>
      <c r="U155" s="8">
        <f>8969+13501</f>
        <v>22470</v>
      </c>
      <c r="W155" s="8">
        <v>0</v>
      </c>
      <c r="Y155" s="8">
        <v>131619</v>
      </c>
      <c r="AA155" s="8">
        <v>0</v>
      </c>
      <c r="AC155" s="8">
        <v>0</v>
      </c>
      <c r="AE155" s="8">
        <f t="shared" si="6"/>
        <v>1089596</v>
      </c>
      <c r="AF155" s="8"/>
      <c r="AG155" s="55"/>
      <c r="AH155" s="55"/>
      <c r="AI155" s="55"/>
      <c r="AJ155" s="55"/>
      <c r="AK155" s="55"/>
      <c r="AL155" s="8">
        <f>+'Gov Rev'!AI155-'Gov Exp'!AE155+'Gov Exp'!AI155-'Gov Exp'!AK155</f>
        <v>293762</v>
      </c>
      <c r="AM155" s="6" t="str">
        <f>'Gov Rev'!A155</f>
        <v>Cridersville</v>
      </c>
      <c r="AN155" s="6" t="str">
        <f t="shared" si="7"/>
        <v>Cridersville</v>
      </c>
      <c r="AO155" s="6" t="b">
        <f t="shared" si="8"/>
        <v>1</v>
      </c>
    </row>
    <row r="156" spans="1:41" ht="12" customHeight="1" x14ac:dyDescent="0.2">
      <c r="A156" s="6" t="s">
        <v>463</v>
      </c>
      <c r="C156" s="6" t="s">
        <v>464</v>
      </c>
      <c r="E156" s="8">
        <v>686361</v>
      </c>
      <c r="G156" s="8">
        <v>0</v>
      </c>
      <c r="I156" s="8">
        <v>102617</v>
      </c>
      <c r="K156" s="8">
        <v>0</v>
      </c>
      <c r="M156" s="8">
        <v>0</v>
      </c>
      <c r="O156" s="8">
        <v>141251</v>
      </c>
      <c r="Q156" s="8">
        <v>303423</v>
      </c>
      <c r="S156" s="8">
        <v>0</v>
      </c>
      <c r="U156" s="8">
        <v>356772</v>
      </c>
      <c r="W156" s="8">
        <v>0</v>
      </c>
      <c r="Y156" s="8">
        <v>0</v>
      </c>
      <c r="AA156" s="8">
        <v>0</v>
      </c>
      <c r="AC156" s="8">
        <v>453919</v>
      </c>
      <c r="AE156" s="8">
        <f t="shared" si="6"/>
        <v>2044343</v>
      </c>
      <c r="AF156" s="8"/>
      <c r="AG156" s="55"/>
      <c r="AH156" s="55"/>
      <c r="AI156" s="55"/>
      <c r="AJ156" s="55"/>
      <c r="AK156" s="55"/>
      <c r="AL156" s="8">
        <f>+'Gov Rev'!AI156-'Gov Exp'!AE156+'Gov Exp'!AI156-'Gov Exp'!AK156</f>
        <v>33651</v>
      </c>
      <c r="AM156" s="6" t="str">
        <f>'Gov Rev'!A156</f>
        <v>Crooksville</v>
      </c>
      <c r="AN156" s="6" t="str">
        <f t="shared" si="7"/>
        <v>Crooksville</v>
      </c>
      <c r="AO156" s="6" t="b">
        <f t="shared" si="8"/>
        <v>1</v>
      </c>
    </row>
    <row r="157" spans="1:41" ht="12" customHeight="1" x14ac:dyDescent="0.2">
      <c r="A157" s="6" t="s">
        <v>75</v>
      </c>
      <c r="C157" s="6" t="s">
        <v>338</v>
      </c>
      <c r="E157" s="8">
        <v>25153.69</v>
      </c>
      <c r="G157" s="8">
        <v>4777.13</v>
      </c>
      <c r="I157" s="8">
        <v>2587.5100000000002</v>
      </c>
      <c r="K157" s="8">
        <v>0</v>
      </c>
      <c r="M157" s="8">
        <v>9238.98</v>
      </c>
      <c r="O157" s="8">
        <v>13692.42</v>
      </c>
      <c r="Q157" s="8">
        <v>30573.55</v>
      </c>
      <c r="S157" s="8">
        <v>560390.55000000005</v>
      </c>
      <c r="U157" s="8">
        <v>0</v>
      </c>
      <c r="W157" s="8">
        <v>3254.39</v>
      </c>
      <c r="Y157" s="8">
        <v>0</v>
      </c>
      <c r="AA157" s="8">
        <v>0</v>
      </c>
      <c r="AC157" s="8">
        <v>0</v>
      </c>
      <c r="AE157" s="8">
        <f t="shared" si="6"/>
        <v>649668.22000000009</v>
      </c>
      <c r="AF157" s="8"/>
      <c r="AG157" s="55">
        <v>38289.089999999997</v>
      </c>
      <c r="AH157" s="55"/>
      <c r="AI157" s="55">
        <v>91987.76</v>
      </c>
      <c r="AJ157" s="55"/>
      <c r="AK157" s="55">
        <v>130276.85</v>
      </c>
      <c r="AL157" s="8">
        <f>+'Gov Rev'!AI157-'Gov Exp'!AE157+'Gov Exp'!AI157-'Gov Exp'!AK157</f>
        <v>0</v>
      </c>
      <c r="AM157" s="6" t="str">
        <f>'Gov Rev'!A157</f>
        <v>Crown City</v>
      </c>
      <c r="AN157" s="6" t="str">
        <f t="shared" si="7"/>
        <v>Crown City</v>
      </c>
      <c r="AO157" s="6" t="b">
        <f t="shared" si="8"/>
        <v>1</v>
      </c>
    </row>
    <row r="158" spans="1:41" ht="12" customHeight="1" x14ac:dyDescent="0.2">
      <c r="A158" s="6" t="s">
        <v>82</v>
      </c>
      <c r="C158" s="6" t="s">
        <v>349</v>
      </c>
      <c r="E158" s="8">
        <v>27939.18</v>
      </c>
      <c r="G158" s="8">
        <v>0</v>
      </c>
      <c r="I158" s="8">
        <v>1500</v>
      </c>
      <c r="K158" s="8">
        <v>0</v>
      </c>
      <c r="M158" s="8">
        <v>0</v>
      </c>
      <c r="O158" s="8">
        <v>20293.68</v>
      </c>
      <c r="Q158" s="8">
        <v>22081.200000000001</v>
      </c>
      <c r="S158" s="8">
        <v>893.85</v>
      </c>
      <c r="U158" s="8">
        <v>0</v>
      </c>
      <c r="W158" s="8">
        <v>0</v>
      </c>
      <c r="Y158" s="8">
        <v>10000</v>
      </c>
      <c r="AA158" s="8">
        <v>0</v>
      </c>
      <c r="AC158" s="8">
        <v>0</v>
      </c>
      <c r="AE158" s="8">
        <f t="shared" si="6"/>
        <v>82707.91</v>
      </c>
      <c r="AF158" s="8"/>
      <c r="AG158" s="55">
        <v>13516.26</v>
      </c>
      <c r="AH158" s="55"/>
      <c r="AI158" s="55">
        <v>119737.22</v>
      </c>
      <c r="AJ158" s="55"/>
      <c r="AK158" s="55">
        <v>133253.48000000001</v>
      </c>
      <c r="AL158" s="8">
        <f>+'Gov Rev'!AI158-'Gov Exp'!AE158+'Gov Exp'!AI158-'Gov Exp'!AK158</f>
        <v>0</v>
      </c>
      <c r="AM158" s="6" t="str">
        <f>'Gov Rev'!A158</f>
        <v>Cumberland</v>
      </c>
      <c r="AN158" s="6" t="str">
        <f t="shared" si="7"/>
        <v>Cumberland</v>
      </c>
      <c r="AO158" s="6" t="b">
        <f t="shared" si="8"/>
        <v>1</v>
      </c>
    </row>
    <row r="159" spans="1:41" ht="12" customHeight="1" x14ac:dyDescent="0.2">
      <c r="A159" s="6" t="s">
        <v>236</v>
      </c>
      <c r="C159" s="6" t="s">
        <v>558</v>
      </c>
      <c r="E159" s="8">
        <v>1396.88</v>
      </c>
      <c r="G159" s="8">
        <v>0</v>
      </c>
      <c r="I159" s="8">
        <v>1887.79</v>
      </c>
      <c r="K159" s="8">
        <v>1082.18</v>
      </c>
      <c r="M159" s="8">
        <v>0</v>
      </c>
      <c r="O159" s="8">
        <v>4965.88</v>
      </c>
      <c r="Q159" s="8">
        <v>21210.19</v>
      </c>
      <c r="S159" s="8">
        <v>0</v>
      </c>
      <c r="U159" s="8">
        <v>0</v>
      </c>
      <c r="W159" s="8">
        <v>0</v>
      </c>
      <c r="Y159" s="8">
        <v>0</v>
      </c>
      <c r="AA159" s="8">
        <v>0</v>
      </c>
      <c r="AC159" s="8">
        <v>1437.58</v>
      </c>
      <c r="AE159" s="8">
        <f t="shared" si="6"/>
        <v>31980.5</v>
      </c>
      <c r="AF159" s="8"/>
      <c r="AG159" s="55">
        <v>7024.68</v>
      </c>
      <c r="AH159" s="55"/>
      <c r="AI159" s="55">
        <v>116197.51</v>
      </c>
      <c r="AJ159" s="55"/>
      <c r="AK159" s="55">
        <v>123222.19</v>
      </c>
      <c r="AL159" s="8">
        <f>+'Gov Rev'!AI159-'Gov Exp'!AE159+'Gov Exp'!AI159-'Gov Exp'!AK159</f>
        <v>0</v>
      </c>
      <c r="AM159" s="6" t="str">
        <f>'Gov Rev'!A159</f>
        <v>Custar</v>
      </c>
      <c r="AN159" s="6" t="str">
        <f t="shared" si="7"/>
        <v>Custar</v>
      </c>
      <c r="AO159" s="6" t="b">
        <f t="shared" si="8"/>
        <v>1</v>
      </c>
    </row>
    <row r="160" spans="1:41" ht="12" customHeight="1" x14ac:dyDescent="0.2">
      <c r="A160" s="6" t="s">
        <v>788</v>
      </c>
      <c r="C160" s="6" t="s">
        <v>293</v>
      </c>
      <c r="D160" s="11"/>
      <c r="E160" s="8">
        <v>4724244</v>
      </c>
      <c r="G160" s="8">
        <v>22655</v>
      </c>
      <c r="I160" s="8">
        <v>169986</v>
      </c>
      <c r="K160" s="8">
        <v>66055</v>
      </c>
      <c r="M160" s="8">
        <v>160622</v>
      </c>
      <c r="O160" s="8">
        <v>105601</v>
      </c>
      <c r="Q160" s="8">
        <v>4323101</v>
      </c>
      <c r="S160" s="8">
        <v>4671354</v>
      </c>
      <c r="U160" s="8">
        <v>1505000</v>
      </c>
      <c r="W160" s="8">
        <v>48205</v>
      </c>
      <c r="Y160" s="8">
        <v>1244000</v>
      </c>
      <c r="AA160" s="8">
        <v>0</v>
      </c>
      <c r="AC160" s="8">
        <v>0</v>
      </c>
      <c r="AE160" s="8">
        <f t="shared" si="6"/>
        <v>17040823</v>
      </c>
      <c r="AF160" s="8"/>
      <c r="AG160" s="55"/>
      <c r="AH160" s="55"/>
      <c r="AI160" s="55"/>
      <c r="AJ160" s="55"/>
      <c r="AK160" s="55"/>
      <c r="AL160" s="8">
        <f>+'Gov Rev'!AI160-'Gov Exp'!AE160+'Gov Exp'!AI160-'Gov Exp'!AK160</f>
        <v>386745</v>
      </c>
      <c r="AM160" s="6" t="str">
        <f>'Gov Rev'!A160</f>
        <v>Cuyahoga Heights</v>
      </c>
      <c r="AN160" s="6" t="str">
        <f t="shared" si="7"/>
        <v>Cuyahoga Heights</v>
      </c>
      <c r="AO160" s="6" t="b">
        <f t="shared" si="8"/>
        <v>1</v>
      </c>
    </row>
    <row r="161" spans="1:41" ht="12" customHeight="1" x14ac:dyDescent="0.2">
      <c r="A161" s="6" t="s">
        <v>713</v>
      </c>
      <c r="C161" s="6" t="s">
        <v>558</v>
      </c>
      <c r="E161" s="8">
        <v>23281.19</v>
      </c>
      <c r="G161" s="8">
        <v>0</v>
      </c>
      <c r="I161" s="8">
        <v>10582.17</v>
      </c>
      <c r="K161" s="8">
        <v>723.03</v>
      </c>
      <c r="M161" s="8">
        <v>0</v>
      </c>
      <c r="O161" s="8">
        <v>24428.18</v>
      </c>
      <c r="Q161" s="8">
        <v>144429.71</v>
      </c>
      <c r="S161" s="8">
        <v>0</v>
      </c>
      <c r="U161" s="8">
        <v>0</v>
      </c>
      <c r="W161" s="8">
        <v>0</v>
      </c>
      <c r="Y161" s="8">
        <v>0</v>
      </c>
      <c r="AA161" s="8">
        <v>0</v>
      </c>
      <c r="AC161" s="8">
        <v>0</v>
      </c>
      <c r="AE161" s="8">
        <f t="shared" si="6"/>
        <v>203444.28</v>
      </c>
      <c r="AF161" s="8"/>
      <c r="AG161" s="55">
        <v>-44862.59</v>
      </c>
      <c r="AH161" s="55"/>
      <c r="AI161" s="55">
        <v>227134.96</v>
      </c>
      <c r="AJ161" s="55"/>
      <c r="AK161" s="55">
        <v>182272.37</v>
      </c>
      <c r="AL161" s="8">
        <f>+'Gov Rev'!AI161-'Gov Exp'!AE161+'Gov Exp'!AI161-'Gov Exp'!AK161</f>
        <v>0</v>
      </c>
      <c r="AM161" s="6" t="str">
        <f>'Gov Rev'!A161</f>
        <v>Cygnet</v>
      </c>
      <c r="AN161" s="6" t="str">
        <f t="shared" si="7"/>
        <v>Cygnet</v>
      </c>
      <c r="AO161" s="6" t="b">
        <f t="shared" si="8"/>
        <v>1</v>
      </c>
    </row>
    <row r="162" spans="1:41" s="8" customFormat="1" ht="12" customHeight="1" x14ac:dyDescent="0.2">
      <c r="A162" s="6" t="s">
        <v>549</v>
      </c>
      <c r="B162" s="6"/>
      <c r="C162" s="6" t="s">
        <v>547</v>
      </c>
      <c r="D162" s="6"/>
      <c r="E162" s="8">
        <v>316589</v>
      </c>
      <c r="G162" s="8">
        <v>22812</v>
      </c>
      <c r="I162" s="8">
        <v>7224</v>
      </c>
      <c r="K162" s="8">
        <v>0</v>
      </c>
      <c r="M162" s="8">
        <v>2489</v>
      </c>
      <c r="O162" s="8">
        <v>152669</v>
      </c>
      <c r="Q162" s="8">
        <v>88979</v>
      </c>
      <c r="S162" s="8">
        <v>40221</v>
      </c>
      <c r="U162" s="8">
        <v>45750</v>
      </c>
      <c r="W162" s="8">
        <v>3510</v>
      </c>
      <c r="Y162" s="8">
        <v>84406</v>
      </c>
      <c r="AA162" s="8">
        <v>0</v>
      </c>
      <c r="AC162" s="8">
        <v>71520</v>
      </c>
      <c r="AE162" s="8">
        <f t="shared" si="6"/>
        <v>836169</v>
      </c>
      <c r="AG162" s="55"/>
      <c r="AH162" s="55"/>
      <c r="AI162" s="55"/>
      <c r="AJ162" s="55"/>
      <c r="AK162" s="55"/>
      <c r="AL162" s="8">
        <f>+'Gov Rev'!AI162-'Gov Exp'!AE162+'Gov Exp'!AI162-'Gov Exp'!AK162</f>
        <v>130861</v>
      </c>
      <c r="AM162" s="6" t="str">
        <f>'Gov Rev'!A162</f>
        <v>Dalton</v>
      </c>
      <c r="AN162" s="6" t="str">
        <f t="shared" si="7"/>
        <v>Dalton</v>
      </c>
      <c r="AO162" s="6" t="b">
        <f t="shared" si="8"/>
        <v>1</v>
      </c>
    </row>
    <row r="163" spans="1:41" ht="12" customHeight="1" x14ac:dyDescent="0.2">
      <c r="A163" s="6" t="s">
        <v>395</v>
      </c>
      <c r="C163" s="6" t="s">
        <v>396</v>
      </c>
      <c r="E163" s="8">
        <v>145400.6</v>
      </c>
      <c r="G163" s="8">
        <v>2.34</v>
      </c>
      <c r="I163" s="8">
        <v>16383.21</v>
      </c>
      <c r="K163" s="8">
        <v>3349.64</v>
      </c>
      <c r="M163" s="8">
        <v>0</v>
      </c>
      <c r="O163" s="8">
        <v>69019.570000000007</v>
      </c>
      <c r="Q163" s="8">
        <v>135331.57999999999</v>
      </c>
      <c r="S163" s="8">
        <v>24965.32</v>
      </c>
      <c r="U163" s="8">
        <v>94519.83</v>
      </c>
      <c r="W163" s="8">
        <v>3355.13</v>
      </c>
      <c r="Y163" s="8">
        <v>80000</v>
      </c>
      <c r="AA163" s="8">
        <v>0</v>
      </c>
      <c r="AC163" s="8">
        <v>8243</v>
      </c>
      <c r="AE163" s="8">
        <f t="shared" si="6"/>
        <v>580570.22</v>
      </c>
      <c r="AF163" s="8"/>
      <c r="AG163" s="55">
        <v>-23633.72</v>
      </c>
      <c r="AH163" s="55"/>
      <c r="AI163" s="55">
        <v>278256.13</v>
      </c>
      <c r="AJ163" s="55"/>
      <c r="AK163" s="55">
        <v>254622.41</v>
      </c>
      <c r="AL163" s="8">
        <f>+'Gov Rev'!AI163-'Gov Exp'!AE163+'Gov Exp'!AI163-'Gov Exp'!AK163</f>
        <v>0</v>
      </c>
      <c r="AM163" s="6" t="str">
        <f>'Gov Rev'!A163</f>
        <v>Danville</v>
      </c>
      <c r="AN163" s="6" t="str">
        <f t="shared" si="7"/>
        <v>Danville</v>
      </c>
      <c r="AO163" s="6" t="b">
        <f t="shared" si="8"/>
        <v>1</v>
      </c>
    </row>
    <row r="164" spans="1:41" ht="12" customHeight="1" x14ac:dyDescent="0.2">
      <c r="A164" s="6" t="s">
        <v>374</v>
      </c>
      <c r="C164" s="6" t="s">
        <v>373</v>
      </c>
      <c r="E164" s="8">
        <v>600</v>
      </c>
      <c r="G164" s="8">
        <v>0</v>
      </c>
      <c r="I164" s="8">
        <v>0</v>
      </c>
      <c r="K164" s="8">
        <v>0</v>
      </c>
      <c r="M164" s="8">
        <v>1260</v>
      </c>
      <c r="O164" s="8">
        <v>0</v>
      </c>
      <c r="Q164" s="8">
        <v>14962</v>
      </c>
      <c r="S164" s="8">
        <v>0</v>
      </c>
      <c r="U164" s="8">
        <v>2267</v>
      </c>
      <c r="W164" s="8">
        <v>0</v>
      </c>
      <c r="Y164" s="8">
        <v>0</v>
      </c>
      <c r="AA164" s="8">
        <v>0</v>
      </c>
      <c r="AC164" s="8">
        <v>0</v>
      </c>
      <c r="AE164" s="8">
        <f t="shared" si="6"/>
        <v>19089</v>
      </c>
      <c r="AF164" s="8"/>
      <c r="AG164" s="55"/>
      <c r="AH164" s="55"/>
      <c r="AI164" s="55"/>
      <c r="AJ164" s="55"/>
      <c r="AK164" s="55"/>
      <c r="AL164" s="8">
        <f>+'Gov Rev'!AI164-'Gov Exp'!AE164+'Gov Exp'!AI164-'Gov Exp'!AK164</f>
        <v>-1167</v>
      </c>
      <c r="AM164" s="6" t="str">
        <f>'Gov Rev'!A164</f>
        <v>Deersville</v>
      </c>
      <c r="AN164" s="6" t="str">
        <f t="shared" si="7"/>
        <v>Deersville</v>
      </c>
      <c r="AO164" s="6" t="b">
        <f t="shared" si="8"/>
        <v>1</v>
      </c>
    </row>
    <row r="165" spans="1:41" ht="12" customHeight="1" x14ac:dyDescent="0.2">
      <c r="A165" s="6" t="s">
        <v>851</v>
      </c>
      <c r="C165" s="6" t="s">
        <v>414</v>
      </c>
      <c r="E165" s="8">
        <v>118479.73</v>
      </c>
      <c r="G165" s="8">
        <v>11246.99</v>
      </c>
      <c r="I165" s="8">
        <v>3837.91</v>
      </c>
      <c r="K165" s="8">
        <v>3853.37</v>
      </c>
      <c r="M165" s="8">
        <v>0</v>
      </c>
      <c r="O165" s="8">
        <v>90865.29</v>
      </c>
      <c r="Q165" s="8">
        <v>110131.62</v>
      </c>
      <c r="S165" s="8">
        <v>0</v>
      </c>
      <c r="U165" s="8">
        <v>1333.33</v>
      </c>
      <c r="W165" s="8">
        <v>881.68</v>
      </c>
      <c r="Y165" s="8">
        <v>2000</v>
      </c>
      <c r="AA165" s="8">
        <v>34388.050000000003</v>
      </c>
      <c r="AC165" s="8">
        <v>0</v>
      </c>
      <c r="AE165" s="8">
        <f t="shared" si="6"/>
        <v>377017.97</v>
      </c>
      <c r="AF165" s="8"/>
      <c r="AG165" s="55">
        <v>-2931.75</v>
      </c>
      <c r="AH165" s="55"/>
      <c r="AI165" s="55">
        <v>94430.86</v>
      </c>
      <c r="AJ165" s="55"/>
      <c r="AK165" s="55">
        <v>91499.11</v>
      </c>
      <c r="AL165" s="8">
        <f>+'Gov Rev'!AI165-'Gov Exp'!AE165+'Gov Exp'!AI165-'Gov Exp'!AK165</f>
        <v>0</v>
      </c>
      <c r="AM165" s="6" t="str">
        <f>'Gov Rev'!A165</f>
        <v>Degraff</v>
      </c>
      <c r="AN165" s="6" t="str">
        <f t="shared" si="7"/>
        <v>Degraff</v>
      </c>
      <c r="AO165" s="6" t="b">
        <f t="shared" si="8"/>
        <v>1</v>
      </c>
    </row>
    <row r="166" spans="1:41" s="14" customFormat="1" ht="12" customHeight="1" x14ac:dyDescent="0.2">
      <c r="A166" s="6" t="s">
        <v>27</v>
      </c>
      <c r="B166" s="6"/>
      <c r="C166" s="6" t="s">
        <v>57</v>
      </c>
      <c r="D166" s="6"/>
      <c r="E166" s="8">
        <v>20993.22</v>
      </c>
      <c r="F166" s="8"/>
      <c r="G166" s="8">
        <v>2169.92</v>
      </c>
      <c r="H166" s="8"/>
      <c r="I166" s="8">
        <v>0</v>
      </c>
      <c r="J166" s="8"/>
      <c r="K166" s="8">
        <v>186.4</v>
      </c>
      <c r="L166" s="8"/>
      <c r="M166" s="8">
        <v>0</v>
      </c>
      <c r="N166" s="8"/>
      <c r="O166" s="8">
        <v>13461.09</v>
      </c>
      <c r="P166" s="8"/>
      <c r="Q166" s="8">
        <v>40812.730000000003</v>
      </c>
      <c r="R166" s="8"/>
      <c r="S166" s="8">
        <v>9709.32</v>
      </c>
      <c r="T166" s="8"/>
      <c r="U166" s="8">
        <v>5119.7299999999996</v>
      </c>
      <c r="V166" s="8"/>
      <c r="W166" s="8">
        <v>221.23</v>
      </c>
      <c r="X166" s="8"/>
      <c r="Y166" s="8">
        <v>0</v>
      </c>
      <c r="Z166" s="8"/>
      <c r="AA166" s="8">
        <v>0</v>
      </c>
      <c r="AB166" s="8"/>
      <c r="AC166" s="8">
        <v>36.54</v>
      </c>
      <c r="AD166" s="8"/>
      <c r="AE166" s="8">
        <f t="shared" si="6"/>
        <v>92710.180000000008</v>
      </c>
      <c r="AF166" s="8"/>
      <c r="AG166" s="55">
        <v>-5193.67</v>
      </c>
      <c r="AH166" s="55"/>
      <c r="AI166" s="55">
        <v>53053.29</v>
      </c>
      <c r="AJ166" s="55"/>
      <c r="AK166" s="55">
        <v>47859.62</v>
      </c>
      <c r="AL166" s="8">
        <f>+'Gov Rev'!AI166-'Gov Exp'!AE166+'Gov Exp'!AI166-'Gov Exp'!AK166</f>
        <v>0</v>
      </c>
      <c r="AM166" s="6" t="str">
        <f>'Gov Rev'!A166</f>
        <v>Dellroy</v>
      </c>
      <c r="AN166" s="6" t="str">
        <f t="shared" si="7"/>
        <v>Dellroy</v>
      </c>
      <c r="AO166" s="6" t="b">
        <f t="shared" si="8"/>
        <v>1</v>
      </c>
    </row>
    <row r="167" spans="1:41" ht="12" customHeight="1" x14ac:dyDescent="0.2">
      <c r="A167" s="6" t="s">
        <v>333</v>
      </c>
      <c r="C167" s="6" t="s">
        <v>332</v>
      </c>
      <c r="E167" s="8">
        <v>657005</v>
      </c>
      <c r="G167" s="8">
        <v>48834</v>
      </c>
      <c r="I167" s="8">
        <v>130266</v>
      </c>
      <c r="K167" s="8">
        <v>4801</v>
      </c>
      <c r="M167" s="8">
        <v>60695</v>
      </c>
      <c r="O167" s="8">
        <v>243377</v>
      </c>
      <c r="Q167" s="8">
        <v>241219</v>
      </c>
      <c r="S167" s="8">
        <v>109349</v>
      </c>
      <c r="U167" s="8">
        <v>5171</v>
      </c>
      <c r="W167" s="8">
        <v>0</v>
      </c>
      <c r="Y167" s="8">
        <v>315028</v>
      </c>
      <c r="AA167" s="8">
        <v>0</v>
      </c>
      <c r="AC167" s="8">
        <v>0</v>
      </c>
      <c r="AE167" s="8">
        <f t="shared" si="6"/>
        <v>1815745</v>
      </c>
      <c r="AF167" s="8"/>
      <c r="AG167" s="55"/>
      <c r="AH167" s="55"/>
      <c r="AI167" s="55"/>
      <c r="AJ167" s="55"/>
      <c r="AK167" s="55"/>
      <c r="AL167" s="8">
        <f>+'Gov Rev'!AI167-'Gov Exp'!AE167+'Gov Exp'!AI167-'Gov Exp'!AK167</f>
        <v>103236</v>
      </c>
      <c r="AM167" s="6" t="str">
        <f>'Gov Rev'!A167</f>
        <v>Delta</v>
      </c>
      <c r="AN167" s="6" t="str">
        <f t="shared" si="7"/>
        <v>Delta</v>
      </c>
      <c r="AO167" s="6" t="b">
        <f t="shared" si="8"/>
        <v>1</v>
      </c>
    </row>
    <row r="168" spans="1:41" ht="12" customHeight="1" x14ac:dyDescent="0.2">
      <c r="A168" s="6" t="s">
        <v>217</v>
      </c>
      <c r="C168" s="6" t="s">
        <v>521</v>
      </c>
      <c r="E168" s="8">
        <v>591583.99</v>
      </c>
      <c r="G168" s="8">
        <v>42379.61</v>
      </c>
      <c r="I168" s="8">
        <v>134074.95000000001</v>
      </c>
      <c r="K168" s="8">
        <v>16444.82</v>
      </c>
      <c r="M168" s="8">
        <v>27737.51</v>
      </c>
      <c r="O168" s="8">
        <v>126811.17</v>
      </c>
      <c r="Q168" s="8">
        <v>210661.35</v>
      </c>
      <c r="S168" s="8">
        <v>119964.14</v>
      </c>
      <c r="U168" s="8">
        <v>20549.5</v>
      </c>
      <c r="W168" s="8">
        <v>3092.07</v>
      </c>
      <c r="Y168" s="8">
        <v>48000</v>
      </c>
      <c r="AA168" s="8">
        <v>0</v>
      </c>
      <c r="AC168" s="8">
        <v>0</v>
      </c>
      <c r="AE168" s="8">
        <f t="shared" si="6"/>
        <v>1341299.1100000001</v>
      </c>
      <c r="AF168" s="8"/>
      <c r="AG168" s="55">
        <v>-28355.58</v>
      </c>
      <c r="AH168" s="55"/>
      <c r="AI168" s="55">
        <v>692614.77</v>
      </c>
      <c r="AJ168" s="55"/>
      <c r="AK168" s="55">
        <v>664259.18999999994</v>
      </c>
      <c r="AL168" s="8">
        <f>+'Gov Rev'!AI168-'Gov Exp'!AE168+'Gov Exp'!AI168-'Gov Exp'!AK168</f>
        <v>0</v>
      </c>
      <c r="AM168" s="6" t="str">
        <f>'Gov Rev'!A168</f>
        <v>Dennison</v>
      </c>
      <c r="AN168" s="6" t="str">
        <f t="shared" si="7"/>
        <v>Dennison</v>
      </c>
      <c r="AO168" s="6" t="b">
        <f t="shared" si="8"/>
        <v>1</v>
      </c>
    </row>
    <row r="169" spans="1:41" ht="12" customHeight="1" x14ac:dyDescent="0.2">
      <c r="A169" s="6" t="s">
        <v>99</v>
      </c>
      <c r="C169" s="6" t="s">
        <v>377</v>
      </c>
      <c r="E169" s="8">
        <v>165386.38</v>
      </c>
      <c r="G169" s="8">
        <v>6000</v>
      </c>
      <c r="I169" s="8">
        <v>6673.41</v>
      </c>
      <c r="K169" s="8">
        <v>7348.58</v>
      </c>
      <c r="M169" s="8">
        <v>1841.95</v>
      </c>
      <c r="O169" s="8">
        <v>85509.06</v>
      </c>
      <c r="Q169" s="8">
        <v>117452.61</v>
      </c>
      <c r="S169" s="8">
        <v>305082.7</v>
      </c>
      <c r="U169" s="8">
        <v>15780</v>
      </c>
      <c r="W169" s="8">
        <v>0</v>
      </c>
      <c r="Y169" s="8">
        <v>195902.16</v>
      </c>
      <c r="AA169" s="8">
        <v>0</v>
      </c>
      <c r="AC169" s="8">
        <v>0</v>
      </c>
      <c r="AE169" s="8">
        <f t="shared" si="6"/>
        <v>906976.85</v>
      </c>
      <c r="AF169" s="8"/>
      <c r="AG169" s="55">
        <v>355890.58</v>
      </c>
      <c r="AH169" s="55"/>
      <c r="AI169" s="55">
        <v>313433.53000000003</v>
      </c>
      <c r="AJ169" s="55"/>
      <c r="AK169" s="55">
        <v>669324.11</v>
      </c>
      <c r="AL169" s="8">
        <f>+'Gov Rev'!AI169-'Gov Exp'!AE169+'Gov Exp'!AI169-'Gov Exp'!AK169</f>
        <v>0</v>
      </c>
      <c r="AM169" s="6" t="str">
        <f>'Gov Rev'!A169</f>
        <v>Deshler</v>
      </c>
      <c r="AN169" s="6" t="str">
        <f t="shared" si="7"/>
        <v>Deshler</v>
      </c>
      <c r="AO169" s="6" t="b">
        <f t="shared" si="8"/>
        <v>1</v>
      </c>
    </row>
    <row r="170" spans="1:41" ht="12" customHeight="1" x14ac:dyDescent="0.2">
      <c r="A170" s="6" t="s">
        <v>111</v>
      </c>
      <c r="C170" s="6" t="s">
        <v>390</v>
      </c>
      <c r="E170" s="8">
        <v>52922.400000000001</v>
      </c>
      <c r="G170" s="8">
        <v>15490.95</v>
      </c>
      <c r="I170" s="8">
        <v>7469.85</v>
      </c>
      <c r="K170" s="8">
        <v>361.57</v>
      </c>
      <c r="M170" s="8">
        <v>0</v>
      </c>
      <c r="O170" s="8">
        <v>51433.36</v>
      </c>
      <c r="Q170" s="8">
        <v>53665.81</v>
      </c>
      <c r="S170" s="8">
        <v>62224.76</v>
      </c>
      <c r="U170" s="8">
        <v>5764.52</v>
      </c>
      <c r="W170" s="8">
        <v>913.57</v>
      </c>
      <c r="Y170" s="8">
        <v>598.59</v>
      </c>
      <c r="AA170" s="8">
        <v>0</v>
      </c>
      <c r="AC170" s="8">
        <v>0</v>
      </c>
      <c r="AE170" s="8">
        <f t="shared" si="6"/>
        <v>250845.38</v>
      </c>
      <c r="AF170" s="8"/>
      <c r="AG170" s="55">
        <v>-44105.81</v>
      </c>
      <c r="AH170" s="55"/>
      <c r="AI170" s="55">
        <v>296344.84999999998</v>
      </c>
      <c r="AJ170" s="55"/>
      <c r="AK170" s="55">
        <v>252239.04</v>
      </c>
      <c r="AL170" s="8">
        <f>+'Gov Rev'!AI170-'Gov Exp'!AE170+'Gov Exp'!AI170-'Gov Exp'!AK170</f>
        <v>0</v>
      </c>
      <c r="AM170" s="6" t="str">
        <f>'Gov Rev'!A170</f>
        <v>Dillonvale</v>
      </c>
      <c r="AN170" s="6" t="str">
        <f t="shared" si="7"/>
        <v>Dillonvale</v>
      </c>
      <c r="AO170" s="6" t="b">
        <f t="shared" si="8"/>
        <v>1</v>
      </c>
    </row>
    <row r="171" spans="1:41" ht="12" customHeight="1" x14ac:dyDescent="0.2">
      <c r="A171" s="6" t="s">
        <v>699</v>
      </c>
      <c r="C171" s="6" t="s">
        <v>274</v>
      </c>
      <c r="E171" s="8">
        <v>18496.12</v>
      </c>
      <c r="G171" s="8">
        <v>0</v>
      </c>
      <c r="I171" s="8">
        <v>0</v>
      </c>
      <c r="K171" s="8">
        <v>0</v>
      </c>
      <c r="M171" s="8">
        <v>1679.72</v>
      </c>
      <c r="O171" s="8">
        <v>13354.34</v>
      </c>
      <c r="Q171" s="8">
        <v>30403.79</v>
      </c>
      <c r="S171" s="8">
        <v>0</v>
      </c>
      <c r="U171" s="8">
        <v>0</v>
      </c>
      <c r="W171" s="8">
        <v>0</v>
      </c>
      <c r="Y171" s="8">
        <v>0</v>
      </c>
      <c r="AA171" s="8">
        <v>0</v>
      </c>
      <c r="AC171" s="8">
        <v>0</v>
      </c>
      <c r="AE171" s="8">
        <f t="shared" si="6"/>
        <v>63933.97</v>
      </c>
      <c r="AF171" s="8"/>
      <c r="AG171" s="55">
        <v>3642.99</v>
      </c>
      <c r="AH171" s="55"/>
      <c r="AI171" s="55">
        <v>202930.21</v>
      </c>
      <c r="AJ171" s="55"/>
      <c r="AK171" s="55">
        <v>206573.2</v>
      </c>
      <c r="AL171" s="8">
        <f>+'Gov Rev'!AI171-'Gov Exp'!AE171+'Gov Exp'!AI171-'Gov Exp'!AK171</f>
        <v>0</v>
      </c>
      <c r="AM171" s="6" t="str">
        <f>'Gov Rev'!A171</f>
        <v>Donnelsville</v>
      </c>
      <c r="AN171" s="6" t="str">
        <f t="shared" si="7"/>
        <v>Donnelsville</v>
      </c>
      <c r="AO171" s="6" t="b">
        <f t="shared" si="8"/>
        <v>1</v>
      </c>
    </row>
    <row r="172" spans="1:41" ht="12" customHeight="1" x14ac:dyDescent="0.2">
      <c r="A172" s="6" t="s">
        <v>550</v>
      </c>
      <c r="C172" s="6" t="s">
        <v>547</v>
      </c>
      <c r="E172" s="8">
        <v>599580.43999999994</v>
      </c>
      <c r="G172" s="8">
        <v>25567.58</v>
      </c>
      <c r="I172" s="8">
        <v>65495.15</v>
      </c>
      <c r="K172" s="8">
        <v>28094.76</v>
      </c>
      <c r="M172" s="8">
        <v>0</v>
      </c>
      <c r="O172" s="8">
        <v>310515.71000000002</v>
      </c>
      <c r="Q172" s="8">
        <v>292612.55</v>
      </c>
      <c r="S172" s="8">
        <v>135207.07</v>
      </c>
      <c r="U172" s="8">
        <v>47336.26</v>
      </c>
      <c r="W172" s="8">
        <v>16697.36</v>
      </c>
      <c r="Y172" s="8">
        <v>215500</v>
      </c>
      <c r="AA172" s="8">
        <v>0</v>
      </c>
      <c r="AC172" s="8">
        <v>0</v>
      </c>
      <c r="AE172" s="8">
        <f t="shared" si="6"/>
        <v>1736606.8800000001</v>
      </c>
      <c r="AF172" s="8"/>
      <c r="AG172" s="55">
        <v>-67273.19</v>
      </c>
      <c r="AH172" s="55"/>
      <c r="AI172" s="55">
        <v>1385743.34</v>
      </c>
      <c r="AJ172" s="55"/>
      <c r="AK172" s="55">
        <v>1318470.1499999999</v>
      </c>
      <c r="AL172" s="8">
        <f>+'Gov Rev'!AI172-'Gov Exp'!AE172+'Gov Exp'!AI172-'Gov Exp'!AK172</f>
        <v>0</v>
      </c>
      <c r="AM172" s="6" t="str">
        <f>'Gov Rev'!A172</f>
        <v>Doylestown</v>
      </c>
      <c r="AN172" s="6" t="str">
        <f t="shared" si="7"/>
        <v>Doylestown</v>
      </c>
      <c r="AO172" s="6" t="b">
        <f t="shared" si="8"/>
        <v>1</v>
      </c>
    </row>
    <row r="173" spans="1:41" ht="12" customHeight="1" x14ac:dyDescent="0.2">
      <c r="A173" s="6" t="s">
        <v>160</v>
      </c>
      <c r="C173" s="6" t="s">
        <v>450</v>
      </c>
      <c r="E173" s="8">
        <v>255647.68</v>
      </c>
      <c r="G173" s="8">
        <v>24698.27</v>
      </c>
      <c r="I173" s="8">
        <v>0</v>
      </c>
      <c r="K173" s="8">
        <v>0</v>
      </c>
      <c r="M173" s="8">
        <v>0</v>
      </c>
      <c r="O173" s="8">
        <v>180684.44</v>
      </c>
      <c r="Q173" s="8">
        <v>103723.93</v>
      </c>
      <c r="S173" s="8">
        <v>0</v>
      </c>
      <c r="U173" s="8">
        <v>102317.02</v>
      </c>
      <c r="W173" s="8">
        <v>31120.32</v>
      </c>
      <c r="Y173" s="8">
        <v>253729.46</v>
      </c>
      <c r="AA173" s="8">
        <v>0</v>
      </c>
      <c r="AC173" s="8">
        <v>204.96</v>
      </c>
      <c r="AE173" s="8">
        <f t="shared" si="6"/>
        <v>952126.08</v>
      </c>
      <c r="AF173" s="8"/>
      <c r="AG173" s="55">
        <v>-31012.12</v>
      </c>
      <c r="AH173" s="55"/>
      <c r="AI173" s="55">
        <v>68793.990000000005</v>
      </c>
      <c r="AJ173" s="55"/>
      <c r="AK173" s="55">
        <v>37781.870000000003</v>
      </c>
      <c r="AL173" s="8">
        <f>+'Gov Rev'!AI173-'Gov Exp'!AE173+'Gov Exp'!AI173-'Gov Exp'!AK173</f>
        <v>0</v>
      </c>
      <c r="AM173" s="6" t="str">
        <f>'Gov Rev'!A173</f>
        <v>Dresden</v>
      </c>
      <c r="AN173" s="6" t="str">
        <f t="shared" si="7"/>
        <v>Dresden</v>
      </c>
      <c r="AO173" s="6" t="b">
        <f t="shared" si="8"/>
        <v>1</v>
      </c>
    </row>
    <row r="174" spans="1:41" ht="12" customHeight="1" x14ac:dyDescent="0.2">
      <c r="A174" s="6" t="s">
        <v>367</v>
      </c>
      <c r="C174" s="6" t="s">
        <v>366</v>
      </c>
      <c r="E174" s="8">
        <v>23358.080000000002</v>
      </c>
      <c r="G174" s="8">
        <v>8508.75</v>
      </c>
      <c r="I174" s="8">
        <v>10013.379999999999</v>
      </c>
      <c r="K174" s="8">
        <v>9579.02</v>
      </c>
      <c r="M174" s="8">
        <v>3179.78</v>
      </c>
      <c r="O174" s="8">
        <v>41166.879999999997</v>
      </c>
      <c r="Q174" s="8">
        <v>91090.69</v>
      </c>
      <c r="S174" s="8">
        <v>2349.25</v>
      </c>
      <c r="U174" s="8">
        <v>0</v>
      </c>
      <c r="W174" s="8">
        <v>0</v>
      </c>
      <c r="Y174" s="8">
        <v>0</v>
      </c>
      <c r="AA174" s="8">
        <v>0</v>
      </c>
      <c r="AC174" s="8">
        <v>0</v>
      </c>
      <c r="AE174" s="8">
        <f t="shared" si="6"/>
        <v>189245.83</v>
      </c>
      <c r="AF174" s="8"/>
      <c r="AG174" s="55">
        <v>-5798.67</v>
      </c>
      <c r="AH174" s="55"/>
      <c r="AI174" s="55">
        <v>182690.11</v>
      </c>
      <c r="AJ174" s="55"/>
      <c r="AK174" s="55">
        <v>176891.44</v>
      </c>
      <c r="AL174" s="8">
        <f>+'Gov Rev'!AI174-'Gov Exp'!AE174+'Gov Exp'!AI174-'Gov Exp'!AK174</f>
        <v>0</v>
      </c>
      <c r="AM174" s="6" t="str">
        <f>'Gov Rev'!A174</f>
        <v>Dunkirk</v>
      </c>
      <c r="AN174" s="6" t="str">
        <f t="shared" si="7"/>
        <v>Dunkirk</v>
      </c>
      <c r="AO174" s="6" t="b">
        <f t="shared" si="8"/>
        <v>1</v>
      </c>
    </row>
    <row r="175" spans="1:41" ht="12" customHeight="1" x14ac:dyDescent="0.2">
      <c r="A175" s="6" t="s">
        <v>188</v>
      </c>
      <c r="C175" s="6" t="s">
        <v>476</v>
      </c>
      <c r="E175" s="8">
        <v>5974.28</v>
      </c>
      <c r="G175" s="8">
        <v>436.37</v>
      </c>
      <c r="I175" s="8">
        <v>0</v>
      </c>
      <c r="K175" s="8">
        <v>0</v>
      </c>
      <c r="M175" s="8">
        <v>328.56</v>
      </c>
      <c r="O175" s="8">
        <v>7299.61</v>
      </c>
      <c r="Q175" s="8">
        <v>26193.27</v>
      </c>
      <c r="S175" s="8">
        <v>3263.45</v>
      </c>
      <c r="U175" s="8">
        <v>0</v>
      </c>
      <c r="W175" s="8">
        <v>0</v>
      </c>
      <c r="Y175" s="8">
        <v>0</v>
      </c>
      <c r="AA175" s="8">
        <v>0</v>
      </c>
      <c r="AC175" s="8">
        <v>0</v>
      </c>
      <c r="AE175" s="8">
        <f t="shared" si="6"/>
        <v>43495.539999999994</v>
      </c>
      <c r="AF175" s="8"/>
      <c r="AG175" s="55">
        <v>7810.51</v>
      </c>
      <c r="AH175" s="55"/>
      <c r="AI175" s="55">
        <v>137200.99</v>
      </c>
      <c r="AJ175" s="55"/>
      <c r="AK175" s="55">
        <v>145011.5</v>
      </c>
      <c r="AL175" s="8">
        <f>+'Gov Rev'!AI175-'Gov Exp'!AE175+'Gov Exp'!AI175-'Gov Exp'!AK175</f>
        <v>0</v>
      </c>
      <c r="AM175" s="6" t="str">
        <f>'Gov Rev'!A175</f>
        <v>Dupont</v>
      </c>
      <c r="AN175" s="6" t="str">
        <f t="shared" si="7"/>
        <v>Dupont</v>
      </c>
      <c r="AO175" s="6" t="b">
        <f t="shared" si="8"/>
        <v>1</v>
      </c>
    </row>
    <row r="176" spans="1:41" ht="12" customHeight="1" x14ac:dyDescent="0.2">
      <c r="A176" s="6" t="s">
        <v>504</v>
      </c>
      <c r="C176" s="6" t="s">
        <v>502</v>
      </c>
      <c r="E176" s="8">
        <v>261534.11</v>
      </c>
      <c r="G176" s="8">
        <v>6113.25</v>
      </c>
      <c r="I176" s="8">
        <v>14350.3</v>
      </c>
      <c r="K176" s="8">
        <v>3000.25</v>
      </c>
      <c r="M176" s="8">
        <v>0</v>
      </c>
      <c r="O176" s="8">
        <v>198239.5</v>
      </c>
      <c r="Q176" s="8">
        <v>220526.44</v>
      </c>
      <c r="S176" s="8">
        <v>10399.209999999999</v>
      </c>
      <c r="U176" s="8">
        <v>2708.94</v>
      </c>
      <c r="W176" s="8">
        <v>0</v>
      </c>
      <c r="Y176" s="8">
        <v>10000</v>
      </c>
      <c r="AA176" s="8">
        <v>0</v>
      </c>
      <c r="AC176" s="8">
        <v>0</v>
      </c>
      <c r="AE176" s="8">
        <f t="shared" si="6"/>
        <v>726871.99999999988</v>
      </c>
      <c r="AF176" s="8"/>
      <c r="AG176" s="55">
        <v>-100819.43</v>
      </c>
      <c r="AH176" s="55"/>
      <c r="AI176" s="55">
        <v>709398.25</v>
      </c>
      <c r="AJ176" s="55"/>
      <c r="AK176" s="55">
        <v>608578.81999999995</v>
      </c>
      <c r="AL176" s="8">
        <f>+'Gov Rev'!AI176-'Gov Exp'!AE176+'Gov Exp'!AI176-'Gov Exp'!AK176</f>
        <v>0</v>
      </c>
      <c r="AM176" s="6" t="str">
        <f>'Gov Rev'!A176</f>
        <v>East Canton</v>
      </c>
      <c r="AN176" s="6" t="str">
        <f t="shared" si="7"/>
        <v>East Canton</v>
      </c>
      <c r="AO176" s="6" t="b">
        <f t="shared" si="8"/>
        <v>1</v>
      </c>
    </row>
    <row r="177" spans="1:41" ht="12" customHeight="1" x14ac:dyDescent="0.2">
      <c r="A177" s="8" t="s">
        <v>818</v>
      </c>
      <c r="B177" s="8"/>
      <c r="C177" s="8" t="s">
        <v>283</v>
      </c>
      <c r="D177" s="8"/>
      <c r="E177" s="8">
        <v>1094063</v>
      </c>
      <c r="G177" s="8">
        <v>35638</v>
      </c>
      <c r="I177" s="8">
        <v>218355</v>
      </c>
      <c r="K177" s="8">
        <v>337500</v>
      </c>
      <c r="M177" s="8">
        <v>0</v>
      </c>
      <c r="O177" s="8">
        <v>266764</v>
      </c>
      <c r="Q177" s="8">
        <v>573765</v>
      </c>
      <c r="S177" s="8">
        <v>425880</v>
      </c>
      <c r="U177" s="8">
        <v>453913</v>
      </c>
      <c r="W177" s="8">
        <v>34860</v>
      </c>
      <c r="Y177" s="8">
        <v>114448</v>
      </c>
      <c r="AA177" s="8">
        <v>0</v>
      </c>
      <c r="AC177" s="8">
        <v>0</v>
      </c>
      <c r="AE177" s="8">
        <f t="shared" si="6"/>
        <v>3555186</v>
      </c>
      <c r="AF177" s="8"/>
      <c r="AG177" s="55"/>
      <c r="AH177" s="55"/>
      <c r="AI177" s="55"/>
      <c r="AJ177" s="55"/>
      <c r="AK177" s="55"/>
      <c r="AL177" s="8">
        <f>+'Gov Rev'!AI177-'Gov Exp'!AE177+'Gov Exp'!AI177-'Gov Exp'!AK177</f>
        <v>-23957</v>
      </c>
      <c r="AM177" s="6" t="str">
        <f>'Gov Rev'!A177</f>
        <v>East Palestine</v>
      </c>
      <c r="AN177" s="6" t="str">
        <f t="shared" si="7"/>
        <v>East Palestine</v>
      </c>
      <c r="AO177" s="6" t="b">
        <f t="shared" si="8"/>
        <v>1</v>
      </c>
    </row>
    <row r="178" spans="1:41" ht="12" customHeight="1" x14ac:dyDescent="0.2">
      <c r="A178" s="6" t="s">
        <v>209</v>
      </c>
      <c r="C178" s="6" t="s">
        <v>502</v>
      </c>
      <c r="E178" s="8">
        <v>77785.7</v>
      </c>
      <c r="G178" s="8">
        <v>16370</v>
      </c>
      <c r="I178" s="8">
        <v>52194.8</v>
      </c>
      <c r="K178" s="8">
        <v>0</v>
      </c>
      <c r="M178" s="8">
        <v>0</v>
      </c>
      <c r="O178" s="8">
        <v>88820.21</v>
      </c>
      <c r="Q178" s="8">
        <v>105129.63</v>
      </c>
      <c r="S178" s="8">
        <v>5938.02</v>
      </c>
      <c r="U178" s="8">
        <v>7653.08</v>
      </c>
      <c r="W178" s="8">
        <v>1917.65</v>
      </c>
      <c r="Y178" s="8">
        <v>0</v>
      </c>
      <c r="AA178" s="8">
        <v>0</v>
      </c>
      <c r="AC178" s="8">
        <v>0</v>
      </c>
      <c r="AE178" s="8">
        <f t="shared" si="6"/>
        <v>355809.09000000008</v>
      </c>
      <c r="AF178" s="8"/>
      <c r="AG178" s="55">
        <v>-61709.75</v>
      </c>
      <c r="AH178" s="55"/>
      <c r="AI178" s="55">
        <v>230445.11</v>
      </c>
      <c r="AJ178" s="55"/>
      <c r="AK178" s="55">
        <v>168735.35999999999</v>
      </c>
      <c r="AL178" s="8">
        <f>+'Gov Rev'!AI178-'Gov Exp'!AE178+'Gov Exp'!AI178-'Gov Exp'!AK178</f>
        <v>0</v>
      </c>
      <c r="AM178" s="6" t="str">
        <f>'Gov Rev'!A178</f>
        <v>East Sparta</v>
      </c>
      <c r="AN178" s="6" t="str">
        <f t="shared" si="7"/>
        <v>East Sparta</v>
      </c>
      <c r="AO178" s="6" t="b">
        <f t="shared" si="8"/>
        <v>1</v>
      </c>
    </row>
    <row r="179" spans="1:41" s="14" customFormat="1" ht="12" customHeight="1" x14ac:dyDescent="0.2">
      <c r="A179" s="6" t="s">
        <v>553</v>
      </c>
      <c r="B179" s="6"/>
      <c r="C179" s="6" t="s">
        <v>554</v>
      </c>
      <c r="D179" s="6"/>
      <c r="E179" s="8">
        <v>554660</v>
      </c>
      <c r="F179" s="8"/>
      <c r="G179" s="8">
        <v>2877</v>
      </c>
      <c r="H179" s="8"/>
      <c r="I179" s="8">
        <v>26767</v>
      </c>
      <c r="J179" s="8"/>
      <c r="K179" s="8">
        <v>6619</v>
      </c>
      <c r="L179" s="8"/>
      <c r="M179" s="8">
        <v>0</v>
      </c>
      <c r="N179" s="8"/>
      <c r="O179" s="8">
        <v>224654</v>
      </c>
      <c r="P179" s="8"/>
      <c r="Q179" s="8">
        <v>189407</v>
      </c>
      <c r="R179" s="8"/>
      <c r="S179" s="8">
        <v>1068391</v>
      </c>
      <c r="T179" s="8"/>
      <c r="U179" s="8">
        <v>0</v>
      </c>
      <c r="V179" s="8"/>
      <c r="W179" s="8">
        <v>0</v>
      </c>
      <c r="X179" s="8"/>
      <c r="Y179" s="8">
        <v>60052</v>
      </c>
      <c r="Z179" s="8"/>
      <c r="AA179" s="8">
        <v>0</v>
      </c>
      <c r="AB179" s="8"/>
      <c r="AC179" s="8">
        <v>2085</v>
      </c>
      <c r="AD179" s="8"/>
      <c r="AE179" s="8">
        <f t="shared" si="6"/>
        <v>2135512</v>
      </c>
      <c r="AF179" s="8"/>
      <c r="AG179" s="55"/>
      <c r="AH179" s="55"/>
      <c r="AI179" s="55"/>
      <c r="AJ179" s="55"/>
      <c r="AK179" s="55"/>
      <c r="AL179" s="8">
        <f>+'Gov Rev'!AI179-'Gov Exp'!AE179+'Gov Exp'!AI179-'Gov Exp'!AK179</f>
        <v>-772092</v>
      </c>
      <c r="AM179" s="6" t="str">
        <f>'Gov Rev'!A179</f>
        <v>Edgerton</v>
      </c>
      <c r="AN179" s="6" t="str">
        <f t="shared" si="7"/>
        <v>Edgerton</v>
      </c>
      <c r="AO179" s="6" t="b">
        <f t="shared" si="8"/>
        <v>1</v>
      </c>
    </row>
    <row r="180" spans="1:41" ht="12" customHeight="1" x14ac:dyDescent="0.2">
      <c r="A180" s="6" t="s">
        <v>158</v>
      </c>
      <c r="C180" s="6" t="s">
        <v>226</v>
      </c>
      <c r="E180" s="8">
        <v>29383.08</v>
      </c>
      <c r="G180" s="8">
        <v>0</v>
      </c>
      <c r="I180" s="8">
        <v>0</v>
      </c>
      <c r="K180" s="8">
        <v>0</v>
      </c>
      <c r="M180" s="8">
        <v>0</v>
      </c>
      <c r="O180" s="8">
        <v>48576.75</v>
      </c>
      <c r="Q180" s="8">
        <v>64178.53</v>
      </c>
      <c r="S180" s="8">
        <v>300</v>
      </c>
      <c r="U180" s="8">
        <v>7120</v>
      </c>
      <c r="W180" s="8">
        <v>739.26</v>
      </c>
      <c r="Y180" s="8">
        <v>0</v>
      </c>
      <c r="AA180" s="8">
        <v>0</v>
      </c>
      <c r="AC180" s="8">
        <v>13.6</v>
      </c>
      <c r="AE180" s="8">
        <f t="shared" si="6"/>
        <v>150311.22</v>
      </c>
      <c r="AF180" s="8"/>
      <c r="AG180" s="55">
        <v>-10990.76</v>
      </c>
      <c r="AH180" s="55"/>
      <c r="AI180" s="55">
        <v>73610.210000000006</v>
      </c>
      <c r="AJ180" s="55"/>
      <c r="AK180" s="55">
        <v>62619.45</v>
      </c>
      <c r="AL180" s="8">
        <f>+'Gov Rev'!AI180-'Gov Exp'!AE180+'Gov Exp'!AI180-'Gov Exp'!AK180</f>
        <v>0</v>
      </c>
      <c r="AM180" s="6" t="str">
        <f>'Gov Rev'!A180</f>
        <v>Edison</v>
      </c>
      <c r="AN180" s="6" t="str">
        <f t="shared" si="7"/>
        <v>Edison</v>
      </c>
      <c r="AO180" s="6" t="b">
        <f t="shared" si="8"/>
        <v>1</v>
      </c>
    </row>
    <row r="181" spans="1:41" ht="12" customHeight="1" x14ac:dyDescent="0.2">
      <c r="A181" s="6" t="s">
        <v>235</v>
      </c>
      <c r="C181" s="6" t="s">
        <v>554</v>
      </c>
      <c r="E181" s="8">
        <v>207456.99</v>
      </c>
      <c r="G181" s="8">
        <v>1384</v>
      </c>
      <c r="I181" s="8">
        <v>22290.89</v>
      </c>
      <c r="K181" s="8">
        <v>15427.48</v>
      </c>
      <c r="M181" s="8">
        <v>0</v>
      </c>
      <c r="O181" s="8">
        <v>114923.27</v>
      </c>
      <c r="Q181" s="8">
        <v>104175.67999999999</v>
      </c>
      <c r="S181" s="8">
        <v>19622.98</v>
      </c>
      <c r="U181" s="8">
        <v>0</v>
      </c>
      <c r="W181" s="8">
        <v>0</v>
      </c>
      <c r="Y181" s="8">
        <v>0</v>
      </c>
      <c r="AA181" s="8">
        <v>0</v>
      </c>
      <c r="AC181" s="8">
        <v>6230.63</v>
      </c>
      <c r="AE181" s="8">
        <f t="shared" si="6"/>
        <v>491511.92</v>
      </c>
      <c r="AF181" s="8"/>
      <c r="AG181" s="55">
        <v>11143.33</v>
      </c>
      <c r="AH181" s="55"/>
      <c r="AI181" s="55">
        <v>176385.16</v>
      </c>
      <c r="AJ181" s="55"/>
      <c r="AK181" s="55">
        <v>187528.49</v>
      </c>
      <c r="AL181" s="8">
        <f>+'Gov Rev'!AI181-'Gov Exp'!AE181+'Gov Exp'!AI181-'Gov Exp'!AK181</f>
        <v>0</v>
      </c>
      <c r="AM181" s="6" t="str">
        <f>'Gov Rev'!A181</f>
        <v>Edon</v>
      </c>
      <c r="AN181" s="6" t="str">
        <f t="shared" si="7"/>
        <v>Edon</v>
      </c>
      <c r="AO181" s="6" t="b">
        <f t="shared" si="8"/>
        <v>1</v>
      </c>
    </row>
    <row r="182" spans="1:41" ht="12" customHeight="1" x14ac:dyDescent="0.2">
      <c r="A182" s="6" t="s">
        <v>185</v>
      </c>
      <c r="C182" s="6" t="s">
        <v>472</v>
      </c>
      <c r="E182" s="8">
        <v>18338.05</v>
      </c>
      <c r="G182" s="8">
        <v>690.48</v>
      </c>
      <c r="I182" s="8">
        <v>3661.33</v>
      </c>
      <c r="K182" s="8">
        <v>213.44</v>
      </c>
      <c r="M182" s="8">
        <v>36251.68</v>
      </c>
      <c r="O182" s="8">
        <v>32506.61</v>
      </c>
      <c r="Q182" s="8">
        <v>70266.27</v>
      </c>
      <c r="S182" s="8">
        <v>167610.38</v>
      </c>
      <c r="U182" s="8">
        <v>0</v>
      </c>
      <c r="W182" s="8">
        <v>0</v>
      </c>
      <c r="Y182" s="8">
        <v>0</v>
      </c>
      <c r="AA182" s="8">
        <v>0</v>
      </c>
      <c r="AC182" s="8">
        <v>0</v>
      </c>
      <c r="AE182" s="8">
        <f t="shared" si="6"/>
        <v>329538.24</v>
      </c>
      <c r="AF182" s="8"/>
      <c r="AG182" s="55">
        <v>10707.05</v>
      </c>
      <c r="AH182" s="55"/>
      <c r="AI182" s="55">
        <v>324516.12</v>
      </c>
      <c r="AJ182" s="55"/>
      <c r="AK182" s="55">
        <v>335223.17</v>
      </c>
      <c r="AL182" s="8">
        <f>+'Gov Rev'!AI182-'Gov Exp'!AE182+'Gov Exp'!AI182-'Gov Exp'!AK182</f>
        <v>0</v>
      </c>
      <c r="AM182" s="6" t="str">
        <f>'Gov Rev'!A182</f>
        <v>Eldorado</v>
      </c>
      <c r="AN182" s="6" t="str">
        <f t="shared" si="7"/>
        <v>Eldorado</v>
      </c>
      <c r="AO182" s="6" t="b">
        <f t="shared" si="8"/>
        <v>1</v>
      </c>
    </row>
    <row r="183" spans="1:41" ht="12" customHeight="1" x14ac:dyDescent="0.2">
      <c r="A183" s="6" t="s">
        <v>3</v>
      </c>
      <c r="C183" s="6" t="s">
        <v>651</v>
      </c>
      <c r="E183" s="8">
        <v>173822.64</v>
      </c>
      <c r="G183" s="8">
        <v>7548.45</v>
      </c>
      <c r="I183" s="8">
        <v>0</v>
      </c>
      <c r="K183" s="8">
        <v>2842.98</v>
      </c>
      <c r="M183" s="8">
        <v>13369</v>
      </c>
      <c r="O183" s="8">
        <v>114657.9</v>
      </c>
      <c r="Q183" s="8">
        <v>165173.88</v>
      </c>
      <c r="S183" s="8">
        <v>399945.54</v>
      </c>
      <c r="U183" s="8">
        <v>0</v>
      </c>
      <c r="W183" s="8">
        <v>0</v>
      </c>
      <c r="Y183" s="8">
        <v>384023.28</v>
      </c>
      <c r="AA183" s="8">
        <v>0</v>
      </c>
      <c r="AC183" s="8">
        <v>13333.34</v>
      </c>
      <c r="AE183" s="8">
        <f t="shared" si="6"/>
        <v>1274717.01</v>
      </c>
      <c r="AF183" s="8"/>
      <c r="AG183" s="55">
        <v>128774.19</v>
      </c>
      <c r="AH183" s="55"/>
      <c r="AI183" s="55">
        <v>273532.07</v>
      </c>
      <c r="AJ183" s="55"/>
      <c r="AK183" s="55">
        <v>402306.26</v>
      </c>
      <c r="AL183" s="8">
        <f>+'Gov Rev'!AI183-'Gov Exp'!AE183+'Gov Exp'!AI183-'Gov Exp'!AK183</f>
        <v>0</v>
      </c>
      <c r="AM183" s="6" t="str">
        <f>'Gov Rev'!A183</f>
        <v>Elida</v>
      </c>
      <c r="AN183" s="6" t="str">
        <f t="shared" si="7"/>
        <v>Elida</v>
      </c>
      <c r="AO183" s="6" t="b">
        <f t="shared" si="8"/>
        <v>1</v>
      </c>
    </row>
    <row r="184" spans="1:41" ht="12" customHeight="1" x14ac:dyDescent="0.2">
      <c r="A184" s="6" t="s">
        <v>166</v>
      </c>
      <c r="C184" s="6" t="s">
        <v>192</v>
      </c>
      <c r="E184" s="8">
        <v>363163.93</v>
      </c>
      <c r="G184" s="8">
        <v>3757.68</v>
      </c>
      <c r="I184" s="8">
        <v>16549.310000000001</v>
      </c>
      <c r="K184" s="8">
        <v>8173.86</v>
      </c>
      <c r="M184" s="8">
        <v>82701.48</v>
      </c>
      <c r="O184" s="8">
        <v>156691.22</v>
      </c>
      <c r="Q184" s="8">
        <v>201088.48</v>
      </c>
      <c r="S184" s="8">
        <v>302743.18</v>
      </c>
      <c r="U184" s="8">
        <v>12476.18</v>
      </c>
      <c r="W184" s="8">
        <v>0</v>
      </c>
      <c r="Y184" s="8">
        <v>51186.89</v>
      </c>
      <c r="AA184" s="8">
        <v>0</v>
      </c>
      <c r="AC184" s="8">
        <v>0</v>
      </c>
      <c r="AE184" s="8">
        <f t="shared" si="6"/>
        <v>1198532.2099999997</v>
      </c>
      <c r="AF184" s="8"/>
      <c r="AG184" s="55">
        <v>47246.95</v>
      </c>
      <c r="AH184" s="55"/>
      <c r="AI184" s="55">
        <v>2366629.81</v>
      </c>
      <c r="AJ184" s="55"/>
      <c r="AK184" s="55">
        <v>2413876.7599999998</v>
      </c>
      <c r="AL184" s="8">
        <f>+'Gov Rev'!AI184-'Gov Exp'!AE184+'Gov Exp'!AI184-'Gov Exp'!AK184</f>
        <v>0</v>
      </c>
      <c r="AM184" s="6" t="str">
        <f>'Gov Rev'!A184</f>
        <v>Elmore</v>
      </c>
      <c r="AN184" s="6" t="str">
        <f t="shared" si="7"/>
        <v>Elmore</v>
      </c>
      <c r="AO184" s="6" t="b">
        <f t="shared" si="8"/>
        <v>1</v>
      </c>
    </row>
    <row r="185" spans="1:41" ht="12" customHeight="1" x14ac:dyDescent="0.2">
      <c r="A185" s="6" t="s">
        <v>87</v>
      </c>
      <c r="C185" s="6" t="s">
        <v>351</v>
      </c>
      <c r="E185" s="8">
        <v>549542.57999999996</v>
      </c>
      <c r="G185" s="8">
        <v>0</v>
      </c>
      <c r="I185" s="8">
        <v>14870.8</v>
      </c>
      <c r="K185" s="8">
        <v>0</v>
      </c>
      <c r="M185" s="8">
        <v>114264.58</v>
      </c>
      <c r="O185" s="8">
        <v>385212.14</v>
      </c>
      <c r="Q185" s="8">
        <v>544941.57999999996</v>
      </c>
      <c r="S185" s="8">
        <v>3118.84</v>
      </c>
      <c r="U185" s="8">
        <v>47620.28</v>
      </c>
      <c r="W185" s="8">
        <v>9159.19</v>
      </c>
      <c r="Y185" s="8">
        <v>0</v>
      </c>
      <c r="AA185" s="8">
        <v>0</v>
      </c>
      <c r="AC185" s="8">
        <v>13239.39</v>
      </c>
      <c r="AE185" s="8">
        <f t="shared" si="6"/>
        <v>1681969.3800000001</v>
      </c>
      <c r="AF185" s="8"/>
      <c r="AG185" s="55">
        <v>4500.2299999999996</v>
      </c>
      <c r="AH185" s="55"/>
      <c r="AI185" s="55">
        <v>1074431.52</v>
      </c>
      <c r="AJ185" s="55"/>
      <c r="AK185" s="55">
        <v>1078931.75</v>
      </c>
      <c r="AL185" s="8">
        <f>+'Gov Rev'!AI185-'Gov Exp'!AE185+'Gov Exp'!AI185-'Gov Exp'!AK185</f>
        <v>0</v>
      </c>
      <c r="AM185" s="6" t="str">
        <f>'Gov Rev'!A185</f>
        <v>Elmwood Place</v>
      </c>
      <c r="AN185" s="6" t="str">
        <f t="shared" si="7"/>
        <v>Elmwood Place</v>
      </c>
      <c r="AO185" s="6" t="b">
        <f t="shared" si="8"/>
        <v>1</v>
      </c>
    </row>
    <row r="186" spans="1:41" ht="12" customHeight="1" x14ac:dyDescent="0.2">
      <c r="A186" s="6" t="s">
        <v>273</v>
      </c>
      <c r="C186" s="6" t="s">
        <v>274</v>
      </c>
      <c r="E186" s="8">
        <v>92650</v>
      </c>
      <c r="G186" s="8">
        <v>0</v>
      </c>
      <c r="I186" s="8">
        <v>4871</v>
      </c>
      <c r="K186" s="8">
        <v>0</v>
      </c>
      <c r="M186" s="8">
        <v>36709</v>
      </c>
      <c r="O186" s="8">
        <v>0</v>
      </c>
      <c r="Q186" s="8">
        <f>61684+437299+297496+114029+357927</f>
        <v>1268435</v>
      </c>
      <c r="S186" s="8">
        <v>215614</v>
      </c>
      <c r="U186" s="8">
        <v>0</v>
      </c>
      <c r="W186" s="8">
        <v>0</v>
      </c>
      <c r="Y186" s="8">
        <v>0</v>
      </c>
      <c r="AA186" s="8">
        <v>0</v>
      </c>
      <c r="AC186" s="8">
        <v>0</v>
      </c>
      <c r="AE186" s="8">
        <f t="shared" si="6"/>
        <v>1618279</v>
      </c>
      <c r="AF186" s="8"/>
      <c r="AG186" s="55"/>
      <c r="AH186" s="55"/>
      <c r="AI186" s="55"/>
      <c r="AJ186" s="55"/>
      <c r="AK186" s="55"/>
      <c r="AL186" s="8">
        <f>+'Gov Rev'!AI186-'Gov Exp'!AE186+'Gov Exp'!AI186-'Gov Exp'!AK186</f>
        <v>-41272</v>
      </c>
      <c r="AM186" s="6" t="str">
        <f>'Gov Rev'!A186</f>
        <v>Enon</v>
      </c>
      <c r="AN186" s="6" t="str">
        <f t="shared" si="7"/>
        <v>Enon</v>
      </c>
      <c r="AO186" s="6" t="b">
        <f t="shared" si="8"/>
        <v>1</v>
      </c>
    </row>
    <row r="187" spans="1:41" ht="12" customHeight="1" x14ac:dyDescent="0.2">
      <c r="A187" s="6" t="s">
        <v>353</v>
      </c>
      <c r="C187" s="6" t="s">
        <v>351</v>
      </c>
      <c r="E187" s="8">
        <v>5634759</v>
      </c>
      <c r="G187" s="8">
        <v>12246</v>
      </c>
      <c r="I187" s="8">
        <v>1679637</v>
      </c>
      <c r="K187" s="8">
        <v>273088</v>
      </c>
      <c r="M187" s="8">
        <v>253039</v>
      </c>
      <c r="O187" s="8">
        <v>864812</v>
      </c>
      <c r="Q187" s="8">
        <v>2515199</v>
      </c>
      <c r="S187" s="8">
        <v>3460729</v>
      </c>
      <c r="U187" s="8">
        <v>4325000</v>
      </c>
      <c r="W187" s="8">
        <v>9930</v>
      </c>
      <c r="Y187" s="8">
        <v>2296500</v>
      </c>
      <c r="AA187" s="8">
        <v>100000</v>
      </c>
      <c r="AC187" s="8">
        <v>0</v>
      </c>
      <c r="AE187" s="8">
        <f t="shared" si="6"/>
        <v>21424939</v>
      </c>
      <c r="AF187" s="8"/>
      <c r="AG187" s="55"/>
      <c r="AH187" s="55"/>
      <c r="AI187" s="55"/>
      <c r="AJ187" s="55"/>
      <c r="AK187" s="55"/>
      <c r="AL187" s="8">
        <f>+'Gov Rev'!AI187-'Gov Exp'!AE187+'Gov Exp'!AI187-'Gov Exp'!AK187</f>
        <v>1212274</v>
      </c>
      <c r="AM187" s="6" t="str">
        <f>'Gov Rev'!A187</f>
        <v>Evendale</v>
      </c>
      <c r="AN187" s="6" t="str">
        <f t="shared" si="7"/>
        <v>Evendale</v>
      </c>
      <c r="AO187" s="6" t="b">
        <f t="shared" si="8"/>
        <v>1</v>
      </c>
    </row>
    <row r="188" spans="1:41" ht="12" customHeight="1" x14ac:dyDescent="0.2">
      <c r="A188" s="6" t="s">
        <v>88</v>
      </c>
      <c r="C188" s="6" t="s">
        <v>351</v>
      </c>
      <c r="E188" s="8">
        <v>1176904.45</v>
      </c>
      <c r="G188" s="8">
        <v>3431.77</v>
      </c>
      <c r="I188" s="8">
        <v>62327.25</v>
      </c>
      <c r="K188" s="8">
        <v>55818.65</v>
      </c>
      <c r="M188" s="8">
        <v>149018.19</v>
      </c>
      <c r="O188" s="8">
        <v>488235.02</v>
      </c>
      <c r="Q188" s="8">
        <v>1063766.31</v>
      </c>
      <c r="S188" s="8">
        <v>1633740.33</v>
      </c>
      <c r="U188" s="8">
        <v>0</v>
      </c>
      <c r="W188" s="8">
        <v>0</v>
      </c>
      <c r="Y188" s="8">
        <v>185466.56</v>
      </c>
      <c r="AA188" s="8">
        <v>750480.51</v>
      </c>
      <c r="AC188" s="8">
        <v>1920.98</v>
      </c>
      <c r="AE188" s="8">
        <f t="shared" si="6"/>
        <v>5571110.0199999996</v>
      </c>
      <c r="AF188" s="8"/>
      <c r="AG188" s="55">
        <v>212746.42</v>
      </c>
      <c r="AH188" s="55"/>
      <c r="AI188" s="55">
        <v>1962252.83</v>
      </c>
      <c r="AJ188" s="55"/>
      <c r="AK188" s="55">
        <v>2174999.25</v>
      </c>
      <c r="AL188" s="8">
        <f>+'Gov Rev'!AI188-'Gov Exp'!AE188+'Gov Exp'!AI188-'Gov Exp'!AK188</f>
        <v>0</v>
      </c>
      <c r="AM188" s="6" t="str">
        <f>'Gov Rev'!A188</f>
        <v>Fairfax</v>
      </c>
      <c r="AN188" s="6" t="str">
        <f t="shared" si="7"/>
        <v>Fairfax</v>
      </c>
      <c r="AO188" s="6" t="b">
        <f t="shared" si="8"/>
        <v>1</v>
      </c>
    </row>
    <row r="189" spans="1:41" ht="12" customHeight="1" x14ac:dyDescent="0.2">
      <c r="A189" s="6" t="s">
        <v>398</v>
      </c>
      <c r="C189" s="6" t="s">
        <v>399</v>
      </c>
      <c r="E189" s="8">
        <v>1130881.76</v>
      </c>
      <c r="G189" s="8">
        <v>19429</v>
      </c>
      <c r="I189" s="8">
        <v>176049.41</v>
      </c>
      <c r="K189" s="8">
        <v>32576.75</v>
      </c>
      <c r="M189" s="8">
        <v>0</v>
      </c>
      <c r="O189" s="8">
        <v>364007.2</v>
      </c>
      <c r="Q189" s="8">
        <v>501011.63</v>
      </c>
      <c r="S189" s="8">
        <v>0</v>
      </c>
      <c r="U189" s="8">
        <v>29963.68</v>
      </c>
      <c r="W189" s="8">
        <v>17620.5</v>
      </c>
      <c r="Y189" s="8">
        <v>99558.06</v>
      </c>
      <c r="AA189" s="8">
        <v>156401.25</v>
      </c>
      <c r="AC189" s="8">
        <v>0</v>
      </c>
      <c r="AE189" s="8">
        <f t="shared" si="6"/>
        <v>2527499.2400000002</v>
      </c>
      <c r="AF189" s="8"/>
      <c r="AG189" s="55">
        <v>72168.14</v>
      </c>
      <c r="AH189" s="55"/>
      <c r="AI189" s="55">
        <v>1408112.94</v>
      </c>
      <c r="AJ189" s="55"/>
      <c r="AK189" s="55">
        <v>1480281.08</v>
      </c>
      <c r="AL189" s="8">
        <f>+'Gov Rev'!AI189-'Gov Exp'!AE189+'Gov Exp'!AI189-'Gov Exp'!AK189</f>
        <v>0</v>
      </c>
      <c r="AM189" s="6" t="str">
        <f>'Gov Rev'!A189</f>
        <v>Fairport Harbor</v>
      </c>
      <c r="AN189" s="6" t="str">
        <f t="shared" si="7"/>
        <v>Fairport Harbor</v>
      </c>
      <c r="AO189" s="6" t="b">
        <f t="shared" si="8"/>
        <v>1</v>
      </c>
    </row>
    <row r="190" spans="1:41" ht="12" customHeight="1" x14ac:dyDescent="0.2">
      <c r="A190" s="6" t="s">
        <v>153</v>
      </c>
      <c r="C190" s="6" t="s">
        <v>446</v>
      </c>
      <c r="E190" s="8">
        <v>122983.02</v>
      </c>
      <c r="G190" s="8">
        <v>0</v>
      </c>
      <c r="I190" s="8">
        <v>0</v>
      </c>
      <c r="K190" s="8">
        <v>0</v>
      </c>
      <c r="M190" s="8">
        <v>0</v>
      </c>
      <c r="O190" s="8">
        <v>103917.2</v>
      </c>
      <c r="Q190" s="8">
        <v>148580.17000000001</v>
      </c>
      <c r="S190" s="8">
        <v>567623.55000000005</v>
      </c>
      <c r="U190" s="8">
        <v>4164.33</v>
      </c>
      <c r="W190" s="8">
        <v>2269.5100000000002</v>
      </c>
      <c r="Y190" s="8">
        <v>63176.97</v>
      </c>
      <c r="AA190" s="8">
        <v>83612.960000000006</v>
      </c>
      <c r="AC190" s="8">
        <v>288.55</v>
      </c>
      <c r="AE190" s="8">
        <f t="shared" si="6"/>
        <v>1096616.26</v>
      </c>
      <c r="AF190" s="8"/>
      <c r="AG190" s="55">
        <v>14107.09</v>
      </c>
      <c r="AH190" s="55"/>
      <c r="AI190" s="55">
        <v>31521.4</v>
      </c>
      <c r="AJ190" s="55"/>
      <c r="AK190" s="55">
        <v>45628.49</v>
      </c>
      <c r="AL190" s="8">
        <f>+'Gov Rev'!AI190-'Gov Exp'!AE190+'Gov Exp'!AI190-'Gov Exp'!AK190</f>
        <v>8.7311491370201111E-11</v>
      </c>
      <c r="AM190" s="6" t="str">
        <f>'Gov Rev'!A190</f>
        <v>Farmersville</v>
      </c>
      <c r="AN190" s="6" t="str">
        <f t="shared" si="7"/>
        <v>Farmersville</v>
      </c>
      <c r="AO190" s="6" t="b">
        <f t="shared" si="8"/>
        <v>1</v>
      </c>
    </row>
    <row r="191" spans="1:41" ht="12" customHeight="1" x14ac:dyDescent="0.2">
      <c r="A191" s="6" t="s">
        <v>334</v>
      </c>
      <c r="C191" s="6" t="s">
        <v>332</v>
      </c>
      <c r="E191" s="8">
        <v>205950</v>
      </c>
      <c r="G191" s="8">
        <v>0</v>
      </c>
      <c r="I191" s="8">
        <v>31055</v>
      </c>
      <c r="K191" s="8">
        <v>1173</v>
      </c>
      <c r="M191" s="8">
        <v>0</v>
      </c>
      <c r="O191" s="8">
        <v>61697</v>
      </c>
      <c r="Q191" s="8">
        <v>106457</v>
      </c>
      <c r="S191" s="8">
        <v>5155459</v>
      </c>
      <c r="U191" s="8">
        <v>8743</v>
      </c>
      <c r="W191" s="8">
        <v>41</v>
      </c>
      <c r="Y191" s="8">
        <v>17009</v>
      </c>
      <c r="AA191" s="8">
        <v>0</v>
      </c>
      <c r="AC191" s="8">
        <v>70</v>
      </c>
      <c r="AE191" s="8">
        <f t="shared" si="6"/>
        <v>5587654</v>
      </c>
      <c r="AF191" s="8"/>
      <c r="AG191" s="55"/>
      <c r="AH191" s="55"/>
      <c r="AI191" s="55"/>
      <c r="AJ191" s="55"/>
      <c r="AK191" s="55"/>
      <c r="AL191" s="8">
        <f>+'Gov Rev'!AI191-'Gov Exp'!AE191+'Gov Exp'!AI191-'Gov Exp'!AK191</f>
        <v>88098</v>
      </c>
      <c r="AM191" s="6" t="str">
        <f>'Gov Rev'!A191</f>
        <v>Fayette</v>
      </c>
      <c r="AN191" s="6" t="str">
        <f t="shared" si="7"/>
        <v>Fayette</v>
      </c>
      <c r="AO191" s="6" t="b">
        <f t="shared" si="8"/>
        <v>1</v>
      </c>
    </row>
    <row r="192" spans="1:41" ht="12" customHeight="1" x14ac:dyDescent="0.2">
      <c r="A192" s="6" t="s">
        <v>21</v>
      </c>
      <c r="C192" s="6" t="s">
        <v>265</v>
      </c>
      <c r="E192" s="8">
        <v>78751.14</v>
      </c>
      <c r="G192" s="8">
        <v>0</v>
      </c>
      <c r="I192" s="8">
        <v>3571.77</v>
      </c>
      <c r="K192" s="8">
        <v>347.77</v>
      </c>
      <c r="M192" s="8">
        <v>0</v>
      </c>
      <c r="O192" s="8">
        <v>20148.259999999998</v>
      </c>
      <c r="Q192" s="8">
        <v>71066.34</v>
      </c>
      <c r="S192" s="8">
        <v>0</v>
      </c>
      <c r="U192" s="8">
        <v>2000</v>
      </c>
      <c r="W192" s="8">
        <v>476.35</v>
      </c>
      <c r="Y192" s="8">
        <v>6114</v>
      </c>
      <c r="AA192" s="8">
        <v>0</v>
      </c>
      <c r="AC192" s="8">
        <v>7680</v>
      </c>
      <c r="AE192" s="8">
        <f t="shared" si="6"/>
        <v>190155.63</v>
      </c>
      <c r="AF192" s="8"/>
      <c r="AG192" s="55">
        <v>-6275.68</v>
      </c>
      <c r="AH192" s="55"/>
      <c r="AI192" s="55">
        <v>51683.199999999997</v>
      </c>
      <c r="AJ192" s="55"/>
      <c r="AK192" s="55">
        <v>45407.519999999997</v>
      </c>
      <c r="AL192" s="8">
        <f>+'Gov Rev'!AI192-'Gov Exp'!AE192+'Gov Exp'!AI192-'Gov Exp'!AK192</f>
        <v>0</v>
      </c>
      <c r="AM192" s="6" t="str">
        <f>'Gov Rev'!A192</f>
        <v>Fayetteville</v>
      </c>
      <c r="AN192" s="6" t="str">
        <f t="shared" si="7"/>
        <v>Fayetteville</v>
      </c>
      <c r="AO192" s="6" t="b">
        <f t="shared" si="8"/>
        <v>1</v>
      </c>
    </row>
    <row r="193" spans="1:41" ht="12" customHeight="1" x14ac:dyDescent="0.2">
      <c r="A193" s="6" t="s">
        <v>798</v>
      </c>
      <c r="C193" s="6" t="s">
        <v>437</v>
      </c>
      <c r="E193" s="8">
        <v>21854.86</v>
      </c>
      <c r="G193" s="8">
        <v>0</v>
      </c>
      <c r="I193" s="8">
        <v>820.6</v>
      </c>
      <c r="K193" s="8">
        <v>0</v>
      </c>
      <c r="M193" s="8">
        <v>0</v>
      </c>
      <c r="O193" s="8">
        <v>11117.01</v>
      </c>
      <c r="Q193" s="8">
        <v>17940.45</v>
      </c>
      <c r="S193" s="8">
        <v>0</v>
      </c>
      <c r="U193" s="8">
        <v>0</v>
      </c>
      <c r="W193" s="8">
        <v>0</v>
      </c>
      <c r="Y193" s="8">
        <v>0</v>
      </c>
      <c r="AA193" s="8">
        <v>0</v>
      </c>
      <c r="AC193" s="8">
        <v>6700.41</v>
      </c>
      <c r="AE193" s="8">
        <f t="shared" si="6"/>
        <v>58433.33</v>
      </c>
      <c r="AF193" s="8"/>
      <c r="AG193" s="55">
        <v>22233.85</v>
      </c>
      <c r="AH193" s="55"/>
      <c r="AI193" s="55">
        <v>57895.43</v>
      </c>
      <c r="AJ193" s="55"/>
      <c r="AK193" s="55">
        <v>80129.279999999999</v>
      </c>
      <c r="AL193" s="8">
        <f>+'Gov Rev'!AI193-'Gov Exp'!AE193+'Gov Exp'!AI193-'Gov Exp'!AK193</f>
        <v>0</v>
      </c>
      <c r="AM193" s="6" t="str">
        <f>'Gov Rev'!A193</f>
        <v>Fletcher</v>
      </c>
      <c r="AN193" s="6" t="str">
        <f t="shared" si="7"/>
        <v>Fletcher</v>
      </c>
      <c r="AO193" s="6" t="b">
        <f t="shared" si="8"/>
        <v>1</v>
      </c>
    </row>
    <row r="194" spans="1:41" ht="12" customHeight="1" x14ac:dyDescent="0.2">
      <c r="A194" s="6" t="s">
        <v>100</v>
      </c>
      <c r="C194" s="6" t="s">
        <v>377</v>
      </c>
      <c r="E194" s="8">
        <v>11738.7</v>
      </c>
      <c r="G194" s="8">
        <v>665.08</v>
      </c>
      <c r="I194" s="8">
        <v>1756.94</v>
      </c>
      <c r="K194" s="8">
        <v>0</v>
      </c>
      <c r="M194" s="8">
        <v>494.97</v>
      </c>
      <c r="O194" s="8">
        <v>5646.25</v>
      </c>
      <c r="Q194" s="8">
        <v>19681.46</v>
      </c>
      <c r="S194" s="8">
        <v>0</v>
      </c>
      <c r="U194" s="8">
        <v>0</v>
      </c>
      <c r="W194" s="8">
        <v>0</v>
      </c>
      <c r="Y194" s="8">
        <v>3029.57</v>
      </c>
      <c r="AA194" s="8">
        <v>0</v>
      </c>
      <c r="AC194" s="8">
        <v>0</v>
      </c>
      <c r="AE194" s="8">
        <f t="shared" si="6"/>
        <v>43012.97</v>
      </c>
      <c r="AF194" s="8"/>
      <c r="AG194" s="55">
        <v>18077.04</v>
      </c>
      <c r="AH194" s="55"/>
      <c r="AI194" s="55">
        <v>81587.850000000006</v>
      </c>
      <c r="AJ194" s="55"/>
      <c r="AK194" s="55">
        <v>99664.89</v>
      </c>
      <c r="AL194" s="8">
        <f>+'Gov Rev'!AI194-'Gov Exp'!AE194+'Gov Exp'!AI194-'Gov Exp'!AK194</f>
        <v>0</v>
      </c>
      <c r="AM194" s="6" t="str">
        <f>'Gov Rev'!A194</f>
        <v>Florida</v>
      </c>
      <c r="AN194" s="6" t="str">
        <f t="shared" si="7"/>
        <v>Florida</v>
      </c>
      <c r="AO194" s="6" t="b">
        <f t="shared" si="8"/>
        <v>1</v>
      </c>
    </row>
    <row r="195" spans="1:41" s="14" customFormat="1" ht="12" customHeight="1" x14ac:dyDescent="0.2">
      <c r="A195" s="6" t="s">
        <v>799</v>
      </c>
      <c r="B195" s="6"/>
      <c r="C195" s="6" t="s">
        <v>261</v>
      </c>
      <c r="D195" s="6"/>
      <c r="E195" s="8">
        <v>47241.05</v>
      </c>
      <c r="F195" s="8"/>
      <c r="G195" s="8">
        <v>4555.42</v>
      </c>
      <c r="H195" s="8"/>
      <c r="I195" s="8">
        <v>17810.32</v>
      </c>
      <c r="J195" s="8"/>
      <c r="K195" s="8">
        <v>0</v>
      </c>
      <c r="L195" s="8"/>
      <c r="M195" s="8">
        <v>7298.34</v>
      </c>
      <c r="N195" s="8"/>
      <c r="O195" s="8">
        <v>33832.879999999997</v>
      </c>
      <c r="P195" s="8"/>
      <c r="Q195" s="8">
        <v>95371.72</v>
      </c>
      <c r="R195" s="8"/>
      <c r="S195" s="8">
        <v>0</v>
      </c>
      <c r="T195" s="8"/>
      <c r="U195" s="8">
        <v>4291.21</v>
      </c>
      <c r="V195" s="8"/>
      <c r="W195" s="8">
        <v>43.39</v>
      </c>
      <c r="X195" s="8"/>
      <c r="Y195" s="8">
        <v>0</v>
      </c>
      <c r="Z195" s="8"/>
      <c r="AA195" s="8">
        <v>0</v>
      </c>
      <c r="AB195" s="8"/>
      <c r="AC195" s="8">
        <v>0</v>
      </c>
      <c r="AD195" s="8"/>
      <c r="AE195" s="8">
        <f t="shared" si="6"/>
        <v>210444.33000000002</v>
      </c>
      <c r="AF195" s="8"/>
      <c r="AG195" s="55">
        <v>-16663.98</v>
      </c>
      <c r="AH195" s="55"/>
      <c r="AI195" s="55">
        <v>502018.57</v>
      </c>
      <c r="AJ195" s="55"/>
      <c r="AK195" s="55">
        <v>485354.59</v>
      </c>
      <c r="AL195" s="8">
        <f>+'Gov Rev'!AI195-'Gov Exp'!AE195+'Gov Exp'!AI195-'Gov Exp'!AK195</f>
        <v>0</v>
      </c>
      <c r="AM195" s="6" t="str">
        <f>'Gov Rev'!A195</f>
        <v>Flushing</v>
      </c>
      <c r="AN195" s="6" t="str">
        <f t="shared" si="7"/>
        <v>Flushing</v>
      </c>
      <c r="AO195" s="6" t="b">
        <f t="shared" si="8"/>
        <v>1</v>
      </c>
    </row>
    <row r="196" spans="1:41" s="14" customFormat="1" ht="12" customHeight="1" x14ac:dyDescent="0.2">
      <c r="A196" s="18" t="s">
        <v>368</v>
      </c>
      <c r="B196" s="18"/>
      <c r="C196" s="18" t="s">
        <v>366</v>
      </c>
      <c r="D196" s="18"/>
      <c r="E196" s="8">
        <v>215954</v>
      </c>
      <c r="F196" s="8"/>
      <c r="G196" s="8">
        <v>5743</v>
      </c>
      <c r="H196" s="8"/>
      <c r="I196" s="8">
        <v>86410</v>
      </c>
      <c r="J196" s="8"/>
      <c r="K196" s="8">
        <v>24898</v>
      </c>
      <c r="L196" s="8"/>
      <c r="M196" s="8">
        <v>0</v>
      </c>
      <c r="N196" s="8"/>
      <c r="O196" s="8">
        <v>104654</v>
      </c>
      <c r="P196" s="8"/>
      <c r="Q196" s="8">
        <v>163826</v>
      </c>
      <c r="R196" s="8"/>
      <c r="S196" s="8">
        <v>0</v>
      </c>
      <c r="T196" s="8"/>
      <c r="U196" s="8">
        <v>24536</v>
      </c>
      <c r="V196" s="8"/>
      <c r="W196" s="8">
        <v>0</v>
      </c>
      <c r="X196" s="8"/>
      <c r="Y196" s="8">
        <v>93580</v>
      </c>
      <c r="Z196" s="8"/>
      <c r="AA196" s="8">
        <v>0</v>
      </c>
      <c r="AB196" s="8"/>
      <c r="AC196" s="8">
        <v>8419</v>
      </c>
      <c r="AD196" s="8"/>
      <c r="AE196" s="8">
        <f t="shared" si="6"/>
        <v>728020</v>
      </c>
      <c r="AF196" s="8"/>
      <c r="AG196" s="55"/>
      <c r="AH196" s="55"/>
      <c r="AI196" s="55"/>
      <c r="AJ196" s="55"/>
      <c r="AK196" s="55"/>
      <c r="AL196" s="8">
        <f>+'Gov Rev'!AI196-'Gov Exp'!AE196+'Gov Exp'!AI196-'Gov Exp'!AK196</f>
        <v>-104157</v>
      </c>
      <c r="AM196" s="6" t="str">
        <f>'Gov Rev'!A196</f>
        <v>Forest</v>
      </c>
      <c r="AN196" s="6" t="str">
        <f t="shared" si="7"/>
        <v>Forest</v>
      </c>
      <c r="AO196" s="6" t="b">
        <f t="shared" si="8"/>
        <v>1</v>
      </c>
    </row>
    <row r="197" spans="1:41" s="8" customFormat="1" ht="12" customHeight="1" x14ac:dyDescent="0.2">
      <c r="A197" s="6" t="s">
        <v>189</v>
      </c>
      <c r="B197" s="6"/>
      <c r="C197" s="6" t="s">
        <v>476</v>
      </c>
      <c r="D197" s="6"/>
      <c r="E197" s="8">
        <v>49096.639999999999</v>
      </c>
      <c r="G197" s="8">
        <v>0</v>
      </c>
      <c r="I197" s="8">
        <v>17396.54</v>
      </c>
      <c r="K197" s="8">
        <v>0</v>
      </c>
      <c r="M197" s="8">
        <v>1719.07</v>
      </c>
      <c r="O197" s="8">
        <v>21407.81</v>
      </c>
      <c r="Q197" s="8">
        <v>112418.97</v>
      </c>
      <c r="S197" s="8">
        <v>28732.52</v>
      </c>
      <c r="U197" s="8">
        <v>0</v>
      </c>
      <c r="W197" s="8">
        <v>0</v>
      </c>
      <c r="Y197" s="8">
        <v>0</v>
      </c>
      <c r="AA197" s="8">
        <v>0</v>
      </c>
      <c r="AC197" s="8">
        <v>0</v>
      </c>
      <c r="AE197" s="8">
        <f t="shared" si="6"/>
        <v>230771.55</v>
      </c>
      <c r="AG197" s="55">
        <v>-37881.89</v>
      </c>
      <c r="AH197" s="55"/>
      <c r="AI197" s="55">
        <v>525188.15</v>
      </c>
      <c r="AJ197" s="55"/>
      <c r="AK197" s="55">
        <v>487306.26</v>
      </c>
      <c r="AL197" s="8">
        <f>+'Gov Rev'!AI197-'Gov Exp'!AE197+'Gov Exp'!AI197-'Gov Exp'!AK197</f>
        <v>0</v>
      </c>
      <c r="AM197" s="6" t="str">
        <f>'Gov Rev'!A197</f>
        <v>Fort Jennings</v>
      </c>
      <c r="AN197" s="6" t="str">
        <f t="shared" si="7"/>
        <v>Fort Jennings</v>
      </c>
      <c r="AO197" s="6" t="b">
        <f t="shared" si="8"/>
        <v>1</v>
      </c>
    </row>
    <row r="198" spans="1:41" ht="12" customHeight="1" x14ac:dyDescent="0.2">
      <c r="A198" s="6" t="s">
        <v>207</v>
      </c>
      <c r="C198" s="6" t="s">
        <v>498</v>
      </c>
      <c r="E198" s="8">
        <v>201429.73</v>
      </c>
      <c r="G198" s="8">
        <v>7553</v>
      </c>
      <c r="I198" s="8">
        <v>43732.42</v>
      </c>
      <c r="K198" s="8">
        <v>0</v>
      </c>
      <c r="M198" s="8">
        <v>68440.86</v>
      </c>
      <c r="O198" s="8">
        <v>102568.59</v>
      </c>
      <c r="Q198" s="8">
        <v>230183.01</v>
      </c>
      <c r="S198" s="8">
        <v>376699.34</v>
      </c>
      <c r="U198" s="8">
        <v>29955.78</v>
      </c>
      <c r="W198" s="8">
        <v>1606.63</v>
      </c>
      <c r="Y198" s="8">
        <v>0</v>
      </c>
      <c r="AA198" s="8">
        <v>0</v>
      </c>
      <c r="AC198" s="8">
        <v>175.37</v>
      </c>
      <c r="AE198" s="8">
        <f t="shared" si="6"/>
        <v>1062344.73</v>
      </c>
      <c r="AF198" s="8"/>
      <c r="AG198" s="55">
        <v>594815.34</v>
      </c>
      <c r="AH198" s="55"/>
      <c r="AI198" s="55">
        <v>1097266.06</v>
      </c>
      <c r="AJ198" s="55"/>
      <c r="AK198" s="55">
        <v>1692081.4</v>
      </c>
      <c r="AL198" s="8">
        <f>+'Gov Rev'!AI198-'Gov Exp'!AE198+'Gov Exp'!AI198-'Gov Exp'!AK198</f>
        <v>0</v>
      </c>
      <c r="AM198" s="6" t="str">
        <f>'Gov Rev'!A198</f>
        <v>Fort Loramie</v>
      </c>
      <c r="AN198" s="6" t="str">
        <f t="shared" si="7"/>
        <v>Fort Loramie</v>
      </c>
      <c r="AO198" s="6" t="b">
        <f t="shared" si="8"/>
        <v>1</v>
      </c>
    </row>
    <row r="199" spans="1:41" ht="12" customHeight="1" x14ac:dyDescent="0.2">
      <c r="A199" s="6" t="s">
        <v>434</v>
      </c>
      <c r="C199" s="6" t="s">
        <v>433</v>
      </c>
      <c r="E199" s="8">
        <v>134314</v>
      </c>
      <c r="G199" s="8">
        <v>32729</v>
      </c>
      <c r="I199" s="8">
        <v>101006</v>
      </c>
      <c r="K199" s="8">
        <v>2122</v>
      </c>
      <c r="M199" s="8">
        <v>5682</v>
      </c>
      <c r="O199" s="8">
        <v>147064</v>
      </c>
      <c r="Q199" s="8">
        <v>332706</v>
      </c>
      <c r="S199" s="8">
        <v>146235</v>
      </c>
      <c r="U199" s="8">
        <v>19232</v>
      </c>
      <c r="W199" s="8">
        <v>0</v>
      </c>
      <c r="Y199" s="8">
        <v>1110363</v>
      </c>
      <c r="AA199" s="8">
        <v>0</v>
      </c>
      <c r="AC199" s="8">
        <v>0</v>
      </c>
      <c r="AE199" s="8">
        <f t="shared" si="6"/>
        <v>2031453</v>
      </c>
      <c r="AF199" s="8"/>
      <c r="AG199" s="55"/>
      <c r="AH199" s="55"/>
      <c r="AI199" s="55"/>
      <c r="AJ199" s="55"/>
      <c r="AK199" s="55"/>
      <c r="AL199" s="8">
        <f>+'Gov Rev'!AI199-'Gov Exp'!AE199+'Gov Exp'!AI199-'Gov Exp'!AK199</f>
        <v>-244616</v>
      </c>
      <c r="AM199" s="6" t="str">
        <f>'Gov Rev'!A199</f>
        <v>Fort Recovery</v>
      </c>
      <c r="AN199" s="6" t="str">
        <f t="shared" si="7"/>
        <v>Fort Recovery</v>
      </c>
      <c r="AO199" s="6" t="b">
        <f t="shared" si="8"/>
        <v>1</v>
      </c>
    </row>
    <row r="200" spans="1:41" s="8" customFormat="1" ht="12" customHeight="1" x14ac:dyDescent="0.2">
      <c r="A200" s="6" t="s">
        <v>197</v>
      </c>
      <c r="B200" s="6"/>
      <c r="C200" s="6" t="s">
        <v>485</v>
      </c>
      <c r="D200" s="6"/>
      <c r="E200" s="8">
        <v>11504</v>
      </c>
      <c r="G200" s="8">
        <v>0</v>
      </c>
      <c r="I200" s="8">
        <v>4309.42</v>
      </c>
      <c r="K200" s="8">
        <v>0</v>
      </c>
      <c r="M200" s="8">
        <v>15851.12</v>
      </c>
      <c r="O200" s="8">
        <v>22959.39</v>
      </c>
      <c r="Q200" s="8">
        <v>67638.05</v>
      </c>
      <c r="S200" s="8">
        <v>20270.77</v>
      </c>
      <c r="U200" s="8">
        <v>0</v>
      </c>
      <c r="W200" s="8">
        <v>0</v>
      </c>
      <c r="Y200" s="8">
        <v>56583.34</v>
      </c>
      <c r="AA200" s="8">
        <v>0</v>
      </c>
      <c r="AC200" s="8">
        <v>0</v>
      </c>
      <c r="AE200" s="8">
        <f t="shared" si="6"/>
        <v>199116.09</v>
      </c>
      <c r="AG200" s="55">
        <v>-50304.76</v>
      </c>
      <c r="AH200" s="55"/>
      <c r="AI200" s="55">
        <v>865442.45</v>
      </c>
      <c r="AJ200" s="55"/>
      <c r="AK200" s="55">
        <v>815137.69</v>
      </c>
      <c r="AL200" s="8">
        <f>+'Gov Rev'!AI200-'Gov Exp'!AE200+'Gov Exp'!AI200-'Gov Exp'!AK200</f>
        <v>0</v>
      </c>
      <c r="AM200" s="6" t="str">
        <f>'Gov Rev'!A200</f>
        <v>Frankfort</v>
      </c>
      <c r="AN200" s="6" t="str">
        <f t="shared" si="7"/>
        <v>Frankfort</v>
      </c>
      <c r="AO200" s="6" t="b">
        <f t="shared" si="8"/>
        <v>1</v>
      </c>
    </row>
    <row r="201" spans="1:41" s="8" customFormat="1" ht="12" customHeight="1" x14ac:dyDescent="0.2">
      <c r="A201" s="6"/>
      <c r="B201" s="6"/>
      <c r="C201" s="6"/>
      <c r="D201" s="6"/>
      <c r="AG201" s="55"/>
      <c r="AH201" s="55"/>
      <c r="AI201" s="55"/>
      <c r="AJ201" s="55"/>
      <c r="AK201" s="55"/>
      <c r="AM201" s="6"/>
      <c r="AN201" s="6"/>
      <c r="AO201" s="6"/>
    </row>
    <row r="202" spans="1:41" s="8" customFormat="1" ht="12" customHeight="1" x14ac:dyDescent="0.2">
      <c r="A202" s="6"/>
      <c r="B202" s="6"/>
      <c r="C202" s="6"/>
      <c r="D202" s="6"/>
      <c r="AE202" s="88" t="s">
        <v>733</v>
      </c>
      <c r="AG202" s="55"/>
      <c r="AH202" s="55"/>
      <c r="AI202" s="55"/>
      <c r="AJ202" s="55"/>
      <c r="AK202" s="55"/>
      <c r="AM202" s="6"/>
      <c r="AN202" s="6"/>
      <c r="AO202" s="6"/>
    </row>
    <row r="203" spans="1:41" s="8" customFormat="1" ht="12" customHeight="1" x14ac:dyDescent="0.2">
      <c r="A203" s="6"/>
      <c r="B203" s="6"/>
      <c r="C203" s="6"/>
      <c r="D203" s="6"/>
      <c r="AG203" s="55"/>
      <c r="AH203" s="55"/>
      <c r="AI203" s="55"/>
      <c r="AJ203" s="55"/>
      <c r="AK203" s="55"/>
      <c r="AM203" s="6"/>
      <c r="AN203" s="6"/>
      <c r="AO203" s="6"/>
    </row>
    <row r="204" spans="1:41" ht="12" customHeight="1" x14ac:dyDescent="0.2">
      <c r="A204" s="6" t="s">
        <v>161</v>
      </c>
      <c r="C204" s="6" t="s">
        <v>450</v>
      </c>
      <c r="E204" s="54">
        <v>159012.57</v>
      </c>
      <c r="G204" s="18">
        <v>0</v>
      </c>
      <c r="H204" s="18"/>
      <c r="I204" s="18">
        <v>33166.400000000001</v>
      </c>
      <c r="J204" s="18"/>
      <c r="K204" s="18">
        <v>4216.32</v>
      </c>
      <c r="L204" s="18"/>
      <c r="M204" s="18">
        <v>0</v>
      </c>
      <c r="N204" s="18"/>
      <c r="O204" s="18">
        <v>204349.96</v>
      </c>
      <c r="P204" s="18"/>
      <c r="Q204" s="18">
        <v>99098.54</v>
      </c>
      <c r="R204" s="18"/>
      <c r="S204" s="18">
        <v>43726.7</v>
      </c>
      <c r="T204" s="18"/>
      <c r="U204" s="18">
        <v>0</v>
      </c>
      <c r="V204" s="18"/>
      <c r="W204" s="18">
        <v>0</v>
      </c>
      <c r="X204" s="18"/>
      <c r="Y204" s="18">
        <v>16546.04</v>
      </c>
      <c r="Z204" s="18"/>
      <c r="AA204" s="18">
        <v>0</v>
      </c>
      <c r="AB204" s="18"/>
      <c r="AC204" s="18">
        <v>0</v>
      </c>
      <c r="AD204" s="18"/>
      <c r="AE204" s="18">
        <f t="shared" si="6"/>
        <v>560116.53</v>
      </c>
      <c r="AF204" s="18"/>
      <c r="AG204" s="64">
        <v>144405.25</v>
      </c>
      <c r="AH204" s="64"/>
      <c r="AI204" s="64">
        <v>182978.71</v>
      </c>
      <c r="AJ204" s="64"/>
      <c r="AK204" s="64">
        <v>327383.96000000002</v>
      </c>
      <c r="AL204" s="8">
        <f>+'Gov Rev'!AI201-'Gov Exp'!AE204+'Gov Exp'!AI204-'Gov Exp'!AK204</f>
        <v>0</v>
      </c>
      <c r="AM204" s="6" t="str">
        <f>'Gov Rev'!A201</f>
        <v>Frazeysburg</v>
      </c>
      <c r="AN204" s="6" t="str">
        <f t="shared" si="7"/>
        <v>Frazeysburg</v>
      </c>
      <c r="AO204" s="6" t="b">
        <f t="shared" si="8"/>
        <v>1</v>
      </c>
    </row>
    <row r="205" spans="1:41" ht="12" customHeight="1" x14ac:dyDescent="0.2">
      <c r="A205" s="6" t="s">
        <v>551</v>
      </c>
      <c r="C205" s="6" t="s">
        <v>547</v>
      </c>
      <c r="E205" s="8">
        <v>32430</v>
      </c>
      <c r="G205" s="8">
        <v>1606</v>
      </c>
      <c r="I205" s="8">
        <v>1815</v>
      </c>
      <c r="K205" s="8">
        <v>0</v>
      </c>
      <c r="M205" s="8">
        <v>0</v>
      </c>
      <c r="O205" s="8">
        <v>28280</v>
      </c>
      <c r="Q205" s="8">
        <v>54497</v>
      </c>
      <c r="S205" s="8">
        <v>0</v>
      </c>
      <c r="U205" s="8">
        <v>0</v>
      </c>
      <c r="W205" s="8">
        <v>0</v>
      </c>
      <c r="Y205" s="8">
        <v>0</v>
      </c>
      <c r="AA205" s="8">
        <v>0</v>
      </c>
      <c r="AC205" s="8">
        <v>0</v>
      </c>
      <c r="AE205" s="8">
        <f t="shared" si="6"/>
        <v>118628</v>
      </c>
      <c r="AF205" s="8"/>
      <c r="AG205" s="55"/>
      <c r="AH205" s="55"/>
      <c r="AI205" s="55"/>
      <c r="AJ205" s="55"/>
      <c r="AK205" s="55"/>
      <c r="AL205" s="8">
        <f>+'Gov Rev'!AI202-'Gov Exp'!AE205+'Gov Exp'!AI205-'Gov Exp'!AK205</f>
        <v>32659</v>
      </c>
      <c r="AM205" s="6" t="str">
        <f>'Gov Rev'!A202</f>
        <v>Fredericksburg</v>
      </c>
      <c r="AN205" s="6" t="str">
        <f t="shared" si="7"/>
        <v>Fredericksburg</v>
      </c>
      <c r="AO205" s="6" t="b">
        <f t="shared" si="8"/>
        <v>1</v>
      </c>
    </row>
    <row r="206" spans="1:41" ht="12" customHeight="1" x14ac:dyDescent="0.2">
      <c r="A206" s="6" t="s">
        <v>397</v>
      </c>
      <c r="C206" s="6" t="s">
        <v>396</v>
      </c>
      <c r="E206" s="8">
        <v>412980.61</v>
      </c>
      <c r="G206" s="8">
        <v>1500</v>
      </c>
      <c r="I206" s="8">
        <v>2426</v>
      </c>
      <c r="K206" s="8">
        <v>3883.35</v>
      </c>
      <c r="M206" s="8">
        <v>5828.79</v>
      </c>
      <c r="O206" s="8">
        <v>315994.01</v>
      </c>
      <c r="Q206" s="8">
        <v>184209.92000000001</v>
      </c>
      <c r="S206" s="8">
        <v>0</v>
      </c>
      <c r="U206" s="8">
        <v>0</v>
      </c>
      <c r="W206" s="8">
        <v>0</v>
      </c>
      <c r="Y206" s="8">
        <v>0</v>
      </c>
      <c r="AA206" s="8">
        <v>0</v>
      </c>
      <c r="AC206" s="8">
        <v>9272.48</v>
      </c>
      <c r="AE206" s="8">
        <f t="shared" si="6"/>
        <v>936095.16</v>
      </c>
      <c r="AF206" s="8"/>
      <c r="AG206" s="55">
        <v>67967.64</v>
      </c>
      <c r="AH206" s="55"/>
      <c r="AI206" s="55">
        <v>387072.56</v>
      </c>
      <c r="AJ206" s="55"/>
      <c r="AK206" s="55">
        <v>455040.2</v>
      </c>
      <c r="AL206" s="8">
        <f>+'Gov Rev'!AI203-'Gov Exp'!AE206+'Gov Exp'!AI206-'Gov Exp'!AK206</f>
        <v>0</v>
      </c>
      <c r="AM206" s="6" t="str">
        <f>'Gov Rev'!A203</f>
        <v>Fredericktown</v>
      </c>
      <c r="AN206" s="6" t="str">
        <f t="shared" si="7"/>
        <v>Fredericktown</v>
      </c>
      <c r="AO206" s="6" t="b">
        <f t="shared" si="8"/>
        <v>1</v>
      </c>
    </row>
    <row r="207" spans="1:41" s="14" customFormat="1" ht="12" customHeight="1" x14ac:dyDescent="0.2">
      <c r="A207" s="6" t="s">
        <v>375</v>
      </c>
      <c r="B207" s="6"/>
      <c r="C207" s="6" t="s">
        <v>373</v>
      </c>
      <c r="D207" s="6"/>
      <c r="E207" s="8">
        <v>18529</v>
      </c>
      <c r="F207" s="8"/>
      <c r="G207" s="8">
        <v>692</v>
      </c>
      <c r="H207" s="8"/>
      <c r="I207" s="8">
        <v>42976</v>
      </c>
      <c r="J207" s="8"/>
      <c r="K207" s="8">
        <v>25690</v>
      </c>
      <c r="L207" s="8"/>
      <c r="M207" s="8">
        <v>270</v>
      </c>
      <c r="N207" s="8"/>
      <c r="O207" s="8">
        <v>8563</v>
      </c>
      <c r="P207" s="8"/>
      <c r="Q207" s="8">
        <v>24332</v>
      </c>
      <c r="R207" s="8"/>
      <c r="S207" s="8">
        <v>3186</v>
      </c>
      <c r="T207" s="8"/>
      <c r="U207" s="8">
        <v>25000</v>
      </c>
      <c r="V207" s="8"/>
      <c r="W207" s="8">
        <v>0</v>
      </c>
      <c r="X207" s="8"/>
      <c r="Y207" s="8">
        <v>0</v>
      </c>
      <c r="Z207" s="8"/>
      <c r="AA207" s="8">
        <v>0</v>
      </c>
      <c r="AB207" s="8"/>
      <c r="AC207" s="8">
        <v>0</v>
      </c>
      <c r="AD207" s="8"/>
      <c r="AE207" s="8">
        <f t="shared" si="6"/>
        <v>149238</v>
      </c>
      <c r="AF207" s="8"/>
      <c r="AG207" s="55"/>
      <c r="AH207" s="55"/>
      <c r="AI207" s="55"/>
      <c r="AJ207" s="55"/>
      <c r="AK207" s="55"/>
      <c r="AL207" s="8">
        <f>+'Gov Rev'!AI204-'Gov Exp'!AE207+'Gov Exp'!AI207-'Gov Exp'!AK207</f>
        <v>47344</v>
      </c>
      <c r="AM207" s="6" t="str">
        <f>'Gov Rev'!A204</f>
        <v>Freeport</v>
      </c>
      <c r="AN207" s="6" t="str">
        <f t="shared" si="7"/>
        <v>Freeport</v>
      </c>
      <c r="AO207" s="6" t="b">
        <f t="shared" si="8"/>
        <v>1</v>
      </c>
    </row>
    <row r="208" spans="1:41" ht="12" customHeight="1" x14ac:dyDescent="0.2">
      <c r="A208" s="6" t="s">
        <v>332</v>
      </c>
      <c r="C208" s="6" t="s">
        <v>226</v>
      </c>
      <c r="E208" s="8">
        <v>3598.21</v>
      </c>
      <c r="G208" s="8">
        <v>192.41</v>
      </c>
      <c r="I208" s="8">
        <v>1128.2</v>
      </c>
      <c r="K208" s="8">
        <v>0</v>
      </c>
      <c r="M208" s="8">
        <v>0</v>
      </c>
      <c r="O208" s="8">
        <v>3961.33</v>
      </c>
      <c r="Q208" s="8">
        <v>29035.51</v>
      </c>
      <c r="S208" s="8">
        <v>0</v>
      </c>
      <c r="U208" s="8">
        <v>0</v>
      </c>
      <c r="W208" s="8">
        <v>0</v>
      </c>
      <c r="Y208" s="8">
        <v>0</v>
      </c>
      <c r="AA208" s="8">
        <v>0</v>
      </c>
      <c r="AC208" s="8">
        <v>0</v>
      </c>
      <c r="AE208" s="8">
        <f t="shared" si="6"/>
        <v>37915.659999999996</v>
      </c>
      <c r="AF208" s="8"/>
      <c r="AG208" s="55">
        <v>4006.24</v>
      </c>
      <c r="AH208" s="55"/>
      <c r="AI208" s="55">
        <v>79831.69</v>
      </c>
      <c r="AJ208" s="55"/>
      <c r="AK208" s="55">
        <v>83837.929999999993</v>
      </c>
      <c r="AL208" s="8">
        <f>+'Gov Rev'!AI205-'Gov Exp'!AE208+'Gov Exp'!AI208-'Gov Exp'!AK208</f>
        <v>0</v>
      </c>
      <c r="AM208" s="6" t="str">
        <f>'Gov Rev'!A205</f>
        <v>Fulton</v>
      </c>
      <c r="AN208" s="6" t="str">
        <f t="shared" si="7"/>
        <v>Fulton</v>
      </c>
      <c r="AO208" s="6" t="b">
        <f t="shared" si="8"/>
        <v>1</v>
      </c>
    </row>
    <row r="209" spans="1:41" s="14" customFormat="1" ht="12" customHeight="1" x14ac:dyDescent="0.2">
      <c r="A209" s="6" t="s">
        <v>52</v>
      </c>
      <c r="B209" s="6"/>
      <c r="C209" s="6" t="s">
        <v>320</v>
      </c>
      <c r="D209" s="6"/>
      <c r="E209" s="8">
        <v>0</v>
      </c>
      <c r="F209" s="8"/>
      <c r="G209" s="8">
        <v>0</v>
      </c>
      <c r="H209" s="8"/>
      <c r="I209" s="8">
        <v>31058.73</v>
      </c>
      <c r="J209" s="8"/>
      <c r="K209" s="8">
        <v>23094.26</v>
      </c>
      <c r="L209" s="8"/>
      <c r="M209" s="8">
        <v>0</v>
      </c>
      <c r="N209" s="8"/>
      <c r="O209" s="8">
        <v>33495.93</v>
      </c>
      <c r="P209" s="8"/>
      <c r="Q209" s="8">
        <v>317527.8</v>
      </c>
      <c r="R209" s="8"/>
      <c r="S209" s="8">
        <v>112415.26</v>
      </c>
      <c r="T209" s="8"/>
      <c r="U209" s="8">
        <v>15000</v>
      </c>
      <c r="V209" s="8"/>
      <c r="W209" s="8">
        <v>16912.5</v>
      </c>
      <c r="X209" s="8"/>
      <c r="Y209" s="8">
        <v>0</v>
      </c>
      <c r="Z209" s="8"/>
      <c r="AA209" s="8">
        <v>0</v>
      </c>
      <c r="AB209" s="8"/>
      <c r="AC209" s="8">
        <v>0</v>
      </c>
      <c r="AD209" s="8"/>
      <c r="AE209" s="8">
        <f t="shared" si="6"/>
        <v>549504.48</v>
      </c>
      <c r="AF209" s="8"/>
      <c r="AG209" s="55">
        <v>126308.48</v>
      </c>
      <c r="AH209" s="55"/>
      <c r="AI209" s="55">
        <v>415904.64</v>
      </c>
      <c r="AJ209" s="55"/>
      <c r="AK209" s="55">
        <v>542213.12</v>
      </c>
      <c r="AL209" s="8">
        <f>+'Gov Rev'!AI206-'Gov Exp'!AE209+'Gov Exp'!AI209-'Gov Exp'!AK209</f>
        <v>0</v>
      </c>
      <c r="AM209" s="6" t="str">
        <f>'Gov Rev'!A206</f>
        <v>Galena</v>
      </c>
      <c r="AN209" s="6" t="str">
        <f t="shared" si="7"/>
        <v>Galena</v>
      </c>
      <c r="AO209" s="6" t="b">
        <f t="shared" si="8"/>
        <v>1</v>
      </c>
    </row>
    <row r="210" spans="1:41" ht="12" customHeight="1" x14ac:dyDescent="0.2">
      <c r="A210" s="6" t="s">
        <v>337</v>
      </c>
      <c r="C210" s="6" t="s">
        <v>338</v>
      </c>
      <c r="E210" s="8">
        <f>1087073+217406</f>
        <v>1304479</v>
      </c>
      <c r="G210" s="8">
        <v>250868</v>
      </c>
      <c r="I210" s="8">
        <v>293948</v>
      </c>
      <c r="K210" s="8">
        <v>85715</v>
      </c>
      <c r="M210" s="8">
        <v>0</v>
      </c>
      <c r="O210" s="8">
        <v>1285235</v>
      </c>
      <c r="Q210" s="8">
        <f>1289410+588378</f>
        <v>1877788</v>
      </c>
      <c r="S210" s="8">
        <v>577353</v>
      </c>
      <c r="U210" s="8">
        <v>636706</v>
      </c>
      <c r="W210" s="8">
        <v>140109</v>
      </c>
      <c r="Y210" s="8">
        <v>1035992</v>
      </c>
      <c r="AA210" s="8">
        <v>311734</v>
      </c>
      <c r="AC210" s="8">
        <v>0</v>
      </c>
      <c r="AE210" s="8">
        <f t="shared" ref="AE210:AE276" si="9">SUM(E210:AC210)</f>
        <v>7799927</v>
      </c>
      <c r="AF210" s="8"/>
      <c r="AG210" s="55"/>
      <c r="AH210" s="55"/>
      <c r="AI210" s="55"/>
      <c r="AJ210" s="55"/>
      <c r="AK210" s="55"/>
      <c r="AL210" s="8">
        <f>+'Gov Rev'!AI210-'Gov Exp'!AE210+'Gov Exp'!AI210-'Gov Exp'!AK210</f>
        <v>-736313</v>
      </c>
      <c r="AM210" s="6" t="str">
        <f>'Gov Rev'!A210</f>
        <v>Gallipolis</v>
      </c>
      <c r="AN210" s="6" t="str">
        <f t="shared" ref="AN210:AN276" si="10">A210</f>
        <v>Gallipolis</v>
      </c>
      <c r="AO210" s="6" t="b">
        <f t="shared" ref="AO210:AO276" si="11">AM210=AN210</f>
        <v>1</v>
      </c>
    </row>
    <row r="211" spans="1:41" ht="12" customHeight="1" x14ac:dyDescent="0.2">
      <c r="A211" s="6" t="s">
        <v>769</v>
      </c>
      <c r="C211" s="6" t="s">
        <v>689</v>
      </c>
      <c r="D211" s="11"/>
      <c r="E211" s="8">
        <v>159013</v>
      </c>
      <c r="G211" s="8">
        <v>2902</v>
      </c>
      <c r="I211" s="8">
        <v>5502</v>
      </c>
      <c r="K211" s="8">
        <v>1796</v>
      </c>
      <c r="M211" s="8">
        <v>41265</v>
      </c>
      <c r="O211" s="8">
        <v>25374</v>
      </c>
      <c r="Q211" s="8">
        <v>378028</v>
      </c>
      <c r="S211" s="8">
        <v>301165</v>
      </c>
      <c r="U211" s="8">
        <v>0</v>
      </c>
      <c r="W211" s="8">
        <v>0</v>
      </c>
      <c r="Y211" s="8">
        <v>0</v>
      </c>
      <c r="AA211" s="8">
        <v>0</v>
      </c>
      <c r="AC211" s="8">
        <v>0</v>
      </c>
      <c r="AE211" s="8">
        <f t="shared" si="9"/>
        <v>915045</v>
      </c>
      <c r="AF211" s="8"/>
      <c r="AG211" s="55"/>
      <c r="AH211" s="55"/>
      <c r="AI211" s="55"/>
      <c r="AJ211" s="55"/>
      <c r="AK211" s="55"/>
      <c r="AL211" s="8">
        <f>+'Gov Rev'!AI211-'Gov Exp'!AE211+'Gov Exp'!AI211-'Gov Exp'!AK211</f>
        <v>37965</v>
      </c>
      <c r="AM211" s="6" t="str">
        <f>'Gov Rev'!A211</f>
        <v>Gambier</v>
      </c>
      <c r="AN211" s="6" t="str">
        <f t="shared" si="10"/>
        <v>Gambier</v>
      </c>
      <c r="AO211" s="6" t="b">
        <f t="shared" si="11"/>
        <v>1</v>
      </c>
    </row>
    <row r="212" spans="1:41" ht="12" customHeight="1" x14ac:dyDescent="0.2">
      <c r="A212" s="6" t="s">
        <v>470</v>
      </c>
      <c r="C212" s="6" t="s">
        <v>241</v>
      </c>
      <c r="E212" s="8">
        <f>855141+1897</f>
        <v>857038</v>
      </c>
      <c r="G212" s="8">
        <v>3596</v>
      </c>
      <c r="I212" s="8">
        <v>66518</v>
      </c>
      <c r="K212" s="8">
        <v>12444</v>
      </c>
      <c r="M212" s="8">
        <v>616</v>
      </c>
      <c r="O212" s="8">
        <f>14384+282019</f>
        <v>296403</v>
      </c>
      <c r="Q212" s="8">
        <f>329918+6384+22000</f>
        <v>358302</v>
      </c>
      <c r="S212" s="8">
        <f>45415+23850</f>
        <v>69265</v>
      </c>
      <c r="U212" s="8">
        <v>0</v>
      </c>
      <c r="W212" s="8">
        <f>14083+32+1320</f>
        <v>15435</v>
      </c>
      <c r="Y212" s="8">
        <v>0</v>
      </c>
      <c r="AA212" s="8">
        <v>0</v>
      </c>
      <c r="AC212" s="8">
        <f>885+80</f>
        <v>965</v>
      </c>
      <c r="AE212" s="8">
        <f t="shared" si="9"/>
        <v>1680582</v>
      </c>
      <c r="AF212" s="8"/>
      <c r="AG212" s="55"/>
      <c r="AH212" s="55"/>
      <c r="AI212" s="55"/>
      <c r="AJ212" s="55"/>
      <c r="AK212" s="55"/>
      <c r="AL212" s="8">
        <f>+'Gov Rev'!AI212-'Gov Exp'!AE212+'Gov Exp'!AI212-'Gov Exp'!AK212</f>
        <v>-9608</v>
      </c>
      <c r="AM212" s="6" t="str">
        <f>'Gov Rev'!A212</f>
        <v>Garrettsville</v>
      </c>
      <c r="AN212" s="6" t="str">
        <f t="shared" si="10"/>
        <v>Garrettsville</v>
      </c>
      <c r="AO212" s="6" t="b">
        <f t="shared" si="11"/>
        <v>1</v>
      </c>
    </row>
    <row r="213" spans="1:41" ht="12" customHeight="1" x14ac:dyDescent="0.2">
      <c r="A213" s="6" t="s">
        <v>297</v>
      </c>
      <c r="C213" s="6" t="s">
        <v>293</v>
      </c>
      <c r="E213" s="8">
        <v>1707349</v>
      </c>
      <c r="G213" s="8">
        <v>9446</v>
      </c>
      <c r="I213" s="8">
        <v>234541</v>
      </c>
      <c r="K213" s="8">
        <v>4112</v>
      </c>
      <c r="M213" s="8">
        <v>33309</v>
      </c>
      <c r="O213" s="8">
        <v>770488</v>
      </c>
      <c r="Q213" s="8">
        <v>1380533</v>
      </c>
      <c r="S213" s="8">
        <v>757258</v>
      </c>
      <c r="U213" s="8">
        <v>0</v>
      </c>
      <c r="W213" s="8">
        <v>0</v>
      </c>
      <c r="Y213" s="8">
        <v>658768</v>
      </c>
      <c r="AA213" s="8">
        <v>0</v>
      </c>
      <c r="AC213" s="8">
        <v>0</v>
      </c>
      <c r="AE213" s="8">
        <f t="shared" si="9"/>
        <v>5555804</v>
      </c>
      <c r="AF213" s="8"/>
      <c r="AG213" s="55"/>
      <c r="AH213" s="55"/>
      <c r="AI213" s="55"/>
      <c r="AJ213" s="55"/>
      <c r="AK213" s="55"/>
      <c r="AL213" s="8">
        <f>+'Gov Rev'!AI213-'Gov Exp'!AE213+'Gov Exp'!AI213-'Gov Exp'!AK213</f>
        <v>343807</v>
      </c>
      <c r="AM213" s="6" t="str">
        <f>'Gov Rev'!A213</f>
        <v>Gates Mills</v>
      </c>
      <c r="AN213" s="6" t="str">
        <f t="shared" si="10"/>
        <v>Gates Mills</v>
      </c>
      <c r="AO213" s="6" t="b">
        <f t="shared" si="11"/>
        <v>1</v>
      </c>
    </row>
    <row r="214" spans="1:41" ht="12" customHeight="1" x14ac:dyDescent="0.2">
      <c r="A214" s="6" t="s">
        <v>251</v>
      </c>
      <c r="C214" s="6" t="s">
        <v>624</v>
      </c>
      <c r="E214" s="8">
        <v>517023.04</v>
      </c>
      <c r="G214" s="8">
        <v>4682.2</v>
      </c>
      <c r="I214" s="8">
        <v>0</v>
      </c>
      <c r="K214" s="8">
        <v>0</v>
      </c>
      <c r="M214" s="8">
        <v>0</v>
      </c>
      <c r="O214" s="8">
        <v>155876.81</v>
      </c>
      <c r="Q214" s="8">
        <v>209863.18</v>
      </c>
      <c r="S214" s="8">
        <v>26838.03</v>
      </c>
      <c r="U214" s="8">
        <v>64049</v>
      </c>
      <c r="W214" s="8">
        <v>34765.5</v>
      </c>
      <c r="Y214" s="8">
        <v>43442</v>
      </c>
      <c r="AA214" s="8">
        <v>55000</v>
      </c>
      <c r="AC214" s="8">
        <v>0</v>
      </c>
      <c r="AE214" s="8">
        <f t="shared" si="9"/>
        <v>1111539.76</v>
      </c>
      <c r="AF214" s="8"/>
      <c r="AG214" s="55">
        <v>32432.82</v>
      </c>
      <c r="AH214" s="55"/>
      <c r="AI214" s="55">
        <v>287260.56</v>
      </c>
      <c r="AJ214" s="55"/>
      <c r="AK214" s="55">
        <v>319693.38</v>
      </c>
      <c r="AL214" s="8">
        <f>+'Gov Rev'!AI214-'Gov Exp'!AE214+'Gov Exp'!AI214-'Gov Exp'!AK214</f>
        <v>0</v>
      </c>
      <c r="AM214" s="6" t="str">
        <f>'Gov Rev'!A214</f>
        <v>Geneva On The Lake</v>
      </c>
      <c r="AN214" s="6" t="str">
        <f t="shared" si="10"/>
        <v>Geneva On The Lake</v>
      </c>
      <c r="AO214" s="6" t="b">
        <f t="shared" si="11"/>
        <v>1</v>
      </c>
    </row>
    <row r="215" spans="1:41" ht="12" customHeight="1" x14ac:dyDescent="0.2">
      <c r="A215" s="8" t="s">
        <v>457</v>
      </c>
      <c r="B215" s="8"/>
      <c r="C215" s="8" t="s">
        <v>192</v>
      </c>
      <c r="D215" s="8"/>
      <c r="E215" s="8">
        <v>445505</v>
      </c>
      <c r="G215" s="8">
        <v>6183</v>
      </c>
      <c r="I215" s="8">
        <v>81330</v>
      </c>
      <c r="K215" s="8">
        <v>9796</v>
      </c>
      <c r="M215" s="8">
        <v>0</v>
      </c>
      <c r="O215" s="8">
        <v>96292</v>
      </c>
      <c r="Q215" s="8">
        <v>347341</v>
      </c>
      <c r="S215" s="8">
        <v>604782</v>
      </c>
      <c r="U215" s="8">
        <v>306828</v>
      </c>
      <c r="W215" s="8">
        <v>214334</v>
      </c>
      <c r="Y215" s="8">
        <v>889342</v>
      </c>
      <c r="AA215" s="8">
        <v>35000</v>
      </c>
      <c r="AC215" s="8">
        <v>0</v>
      </c>
      <c r="AE215" s="8">
        <f t="shared" si="9"/>
        <v>3036733</v>
      </c>
      <c r="AF215" s="8"/>
      <c r="AG215" s="55"/>
      <c r="AH215" s="55"/>
      <c r="AI215" s="55"/>
      <c r="AJ215" s="55"/>
      <c r="AK215" s="55"/>
      <c r="AL215" s="8">
        <f>+'Gov Rev'!AI215-'Gov Exp'!AE215+'Gov Exp'!AI215-'Gov Exp'!AK215</f>
        <v>-171486</v>
      </c>
      <c r="AM215" s="6" t="str">
        <f>'Gov Rev'!A215</f>
        <v>Genoa</v>
      </c>
      <c r="AN215" s="6" t="str">
        <f t="shared" si="10"/>
        <v>Genoa</v>
      </c>
      <c r="AO215" s="6" t="b">
        <f t="shared" si="11"/>
        <v>1</v>
      </c>
    </row>
    <row r="216" spans="1:41" s="14" customFormat="1" ht="12" customHeight="1" x14ac:dyDescent="0.2">
      <c r="A216" s="6" t="s">
        <v>22</v>
      </c>
      <c r="B216" s="6"/>
      <c r="C216" s="6" t="s">
        <v>265</v>
      </c>
      <c r="D216" s="6"/>
      <c r="E216" s="8">
        <v>832108.29</v>
      </c>
      <c r="F216" s="8"/>
      <c r="G216" s="8">
        <v>47742.36</v>
      </c>
      <c r="H216" s="8"/>
      <c r="I216" s="8">
        <v>1512.32</v>
      </c>
      <c r="J216" s="8"/>
      <c r="K216" s="8">
        <v>3417.92</v>
      </c>
      <c r="L216" s="8"/>
      <c r="M216" s="8">
        <v>0</v>
      </c>
      <c r="N216" s="8"/>
      <c r="O216" s="8">
        <v>126889.32</v>
      </c>
      <c r="P216" s="8"/>
      <c r="Q216" s="8">
        <v>217745.69</v>
      </c>
      <c r="R216" s="8"/>
      <c r="S216" s="8">
        <v>717281.08</v>
      </c>
      <c r="T216" s="8"/>
      <c r="U216" s="8">
        <v>83343.179999999993</v>
      </c>
      <c r="V216" s="8"/>
      <c r="W216" s="8">
        <v>2883.13</v>
      </c>
      <c r="X216" s="8"/>
      <c r="Y216" s="8">
        <v>0</v>
      </c>
      <c r="Z216" s="8"/>
      <c r="AA216" s="8">
        <v>0</v>
      </c>
      <c r="AB216" s="8"/>
      <c r="AC216" s="8">
        <v>2018</v>
      </c>
      <c r="AD216" s="8"/>
      <c r="AE216" s="8">
        <f t="shared" si="9"/>
        <v>2034941.2899999998</v>
      </c>
      <c r="AF216" s="8"/>
      <c r="AG216" s="55">
        <v>84322.23</v>
      </c>
      <c r="AH216" s="55"/>
      <c r="AI216" s="55">
        <v>3131788.5</v>
      </c>
      <c r="AJ216" s="55"/>
      <c r="AK216" s="55">
        <v>3216110.73</v>
      </c>
      <c r="AL216" s="8">
        <f>+'Gov Rev'!AI216-'Gov Exp'!AE216+'Gov Exp'!AI216-'Gov Exp'!AK216</f>
        <v>0</v>
      </c>
      <c r="AM216" s="6" t="str">
        <f>'Gov Rev'!A216</f>
        <v>Georgetown</v>
      </c>
      <c r="AN216" s="6" t="str">
        <f t="shared" si="10"/>
        <v>Georgetown</v>
      </c>
      <c r="AO216" s="6" t="b">
        <f t="shared" si="11"/>
        <v>1</v>
      </c>
    </row>
    <row r="217" spans="1:41" ht="12" customHeight="1" x14ac:dyDescent="0.2">
      <c r="A217" s="6" t="s">
        <v>49</v>
      </c>
      <c r="C217" s="6" t="s">
        <v>306</v>
      </c>
      <c r="E217" s="8">
        <v>29231.45</v>
      </c>
      <c r="G217" s="8">
        <v>834.5</v>
      </c>
      <c r="I217" s="8">
        <v>9610.91</v>
      </c>
      <c r="K217" s="8">
        <v>4047.14</v>
      </c>
      <c r="M217" s="8">
        <v>0</v>
      </c>
      <c r="O217" s="8">
        <v>74635.240000000005</v>
      </c>
      <c r="Q217" s="8">
        <v>48629.72</v>
      </c>
      <c r="S217" s="8">
        <v>5000</v>
      </c>
      <c r="U217" s="8">
        <v>5563.12</v>
      </c>
      <c r="W217" s="8">
        <v>0</v>
      </c>
      <c r="Y217" s="8">
        <v>0</v>
      </c>
      <c r="AA217" s="8">
        <v>4200</v>
      </c>
      <c r="AC217" s="8">
        <v>0</v>
      </c>
      <c r="AE217" s="8">
        <f t="shared" si="9"/>
        <v>181752.08000000002</v>
      </c>
      <c r="AF217" s="8"/>
      <c r="AG217" s="55">
        <v>-3965.89</v>
      </c>
      <c r="AH217" s="55"/>
      <c r="AI217" s="55">
        <v>62564.14</v>
      </c>
      <c r="AJ217" s="55"/>
      <c r="AK217" s="55">
        <v>58598.25</v>
      </c>
      <c r="AL217" s="8">
        <f>+'Gov Rev'!AI217-'Gov Exp'!AE217+'Gov Exp'!AI217-'Gov Exp'!AK217</f>
        <v>0</v>
      </c>
      <c r="AM217" s="6" t="str">
        <f>'Gov Rev'!A217</f>
        <v>Gettysburg</v>
      </c>
      <c r="AN217" s="6" t="str">
        <f t="shared" si="10"/>
        <v>Gettysburg</v>
      </c>
      <c r="AO217" s="6" t="b">
        <f t="shared" si="11"/>
        <v>1</v>
      </c>
    </row>
    <row r="218" spans="1:41" ht="12" customHeight="1" x14ac:dyDescent="0.2">
      <c r="A218" s="6" t="s">
        <v>488</v>
      </c>
      <c r="C218" s="6" t="s">
        <v>487</v>
      </c>
      <c r="E218" s="8">
        <v>427146.71</v>
      </c>
      <c r="G218" s="8">
        <v>1165.74</v>
      </c>
      <c r="I218" s="8">
        <v>69329.440000000002</v>
      </c>
      <c r="K218" s="8">
        <v>5614.52</v>
      </c>
      <c r="M218" s="8">
        <v>0</v>
      </c>
      <c r="O218" s="8">
        <v>67687.81</v>
      </c>
      <c r="Q218" s="8">
        <v>239744.84</v>
      </c>
      <c r="S218" s="8">
        <v>558516.16</v>
      </c>
      <c r="U218" s="8">
        <v>0</v>
      </c>
      <c r="W218" s="8">
        <v>0</v>
      </c>
      <c r="Y218" s="8">
        <v>123821.26</v>
      </c>
      <c r="AA218" s="8">
        <v>0</v>
      </c>
      <c r="AC218" s="8">
        <v>0</v>
      </c>
      <c r="AE218" s="8">
        <f t="shared" si="9"/>
        <v>1493026.48</v>
      </c>
      <c r="AF218" s="8"/>
      <c r="AG218" s="55">
        <v>-303075.78999999998</v>
      </c>
      <c r="AH218" s="55"/>
      <c r="AI218" s="55">
        <v>1197376.81</v>
      </c>
      <c r="AJ218" s="55"/>
      <c r="AK218" s="55">
        <v>894301.02</v>
      </c>
      <c r="AL218" s="8">
        <f>+'Gov Rev'!AI218-'Gov Exp'!AE218+'Gov Exp'!AI218-'Gov Exp'!AK218</f>
        <v>0</v>
      </c>
      <c r="AM218" s="6" t="str">
        <f>'Gov Rev'!A218</f>
        <v>Gibsonburg</v>
      </c>
      <c r="AN218" s="6" t="str">
        <f t="shared" si="10"/>
        <v>Gibsonburg</v>
      </c>
      <c r="AO218" s="6" t="b">
        <f t="shared" si="11"/>
        <v>1</v>
      </c>
    </row>
    <row r="219" spans="1:41" ht="12" customHeight="1" x14ac:dyDescent="0.2">
      <c r="A219" s="6" t="s">
        <v>190</v>
      </c>
      <c r="C219" s="6" t="s">
        <v>476</v>
      </c>
      <c r="E219" s="8">
        <v>12914.02</v>
      </c>
      <c r="G219" s="8">
        <v>0</v>
      </c>
      <c r="I219" s="8">
        <v>13447.84</v>
      </c>
      <c r="K219" s="8">
        <v>6.11</v>
      </c>
      <c r="M219" s="8">
        <v>7222.33</v>
      </c>
      <c r="O219" s="8">
        <v>18016.32</v>
      </c>
      <c r="Q219" s="8">
        <v>25289.75</v>
      </c>
      <c r="S219" s="8">
        <v>1216.24</v>
      </c>
      <c r="U219" s="8">
        <v>0</v>
      </c>
      <c r="W219" s="8">
        <v>0</v>
      </c>
      <c r="Y219" s="8">
        <v>0</v>
      </c>
      <c r="AA219" s="8">
        <v>0</v>
      </c>
      <c r="AC219" s="8">
        <v>0</v>
      </c>
      <c r="AE219" s="8">
        <f t="shared" si="9"/>
        <v>78112.61</v>
      </c>
      <c r="AF219" s="8"/>
      <c r="AG219" s="55">
        <v>-15090.11</v>
      </c>
      <c r="AH219" s="55"/>
      <c r="AI219" s="55">
        <v>182204.3</v>
      </c>
      <c r="AJ219" s="55"/>
      <c r="AK219" s="55">
        <v>167114.19</v>
      </c>
      <c r="AL219" s="8">
        <f>+'Gov Rev'!AI219-'Gov Exp'!AE219+'Gov Exp'!AI219-'Gov Exp'!AK219</f>
        <v>0</v>
      </c>
      <c r="AM219" s="6" t="str">
        <f>'Gov Rev'!A219</f>
        <v>Gilboa</v>
      </c>
      <c r="AN219" s="6" t="str">
        <f t="shared" si="10"/>
        <v>Gilboa</v>
      </c>
      <c r="AO219" s="6" t="b">
        <f t="shared" si="11"/>
        <v>1</v>
      </c>
    </row>
    <row r="220" spans="1:41" ht="12" customHeight="1" x14ac:dyDescent="0.2">
      <c r="A220" s="6" t="s">
        <v>477</v>
      </c>
      <c r="C220" s="6" t="s">
        <v>476</v>
      </c>
      <c r="E220" s="8">
        <v>74622.570000000007</v>
      </c>
      <c r="G220" s="8">
        <v>5009.55</v>
      </c>
      <c r="I220" s="8">
        <v>18181.009999999998</v>
      </c>
      <c r="K220" s="8">
        <v>9806.56</v>
      </c>
      <c r="M220" s="8">
        <v>32546.42</v>
      </c>
      <c r="O220" s="8">
        <v>41670.339999999997</v>
      </c>
      <c r="Q220" s="8">
        <v>324690.74</v>
      </c>
      <c r="S220" s="8">
        <v>57845</v>
      </c>
      <c r="U220" s="8">
        <v>20313.919999999998</v>
      </c>
      <c r="W220" s="8">
        <v>3035.35</v>
      </c>
      <c r="Y220" s="8">
        <v>0</v>
      </c>
      <c r="AA220" s="8">
        <v>0</v>
      </c>
      <c r="AC220" s="8">
        <v>0</v>
      </c>
      <c r="AE220" s="8">
        <f t="shared" si="9"/>
        <v>587721.46</v>
      </c>
      <c r="AF220" s="8"/>
      <c r="AG220" s="55">
        <v>4878.4799999999996</v>
      </c>
      <c r="AH220" s="55"/>
      <c r="AI220" s="55">
        <v>469115.58</v>
      </c>
      <c r="AJ220" s="55"/>
      <c r="AK220" s="55">
        <v>473994.06</v>
      </c>
      <c r="AL220" s="8">
        <f>+'Gov Rev'!AI220-'Gov Exp'!AE220+'Gov Exp'!AI220-'Gov Exp'!AK220</f>
        <v>0</v>
      </c>
      <c r="AM220" s="6" t="str">
        <f>'Gov Rev'!A220</f>
        <v>Glandorf</v>
      </c>
      <c r="AN220" s="6" t="str">
        <f t="shared" si="10"/>
        <v>Glandorf</v>
      </c>
      <c r="AO220" s="6" t="b">
        <f t="shared" si="11"/>
        <v>1</v>
      </c>
    </row>
    <row r="221" spans="1:41" ht="12" customHeight="1" x14ac:dyDescent="0.2">
      <c r="A221" s="6" t="s">
        <v>354</v>
      </c>
      <c r="C221" s="6" t="s">
        <v>351</v>
      </c>
      <c r="E221" s="8">
        <v>1106166</v>
      </c>
      <c r="G221" s="8">
        <v>5957</v>
      </c>
      <c r="I221" s="8">
        <v>54239</v>
      </c>
      <c r="K221" s="8">
        <v>381</v>
      </c>
      <c r="M221" s="8">
        <v>396706</v>
      </c>
      <c r="O221" s="8">
        <v>385808</v>
      </c>
      <c r="Q221" s="8">
        <v>515093</v>
      </c>
      <c r="S221" s="8">
        <v>0</v>
      </c>
      <c r="U221" s="8">
        <v>0</v>
      </c>
      <c r="W221" s="8">
        <v>0</v>
      </c>
      <c r="Y221" s="8">
        <v>1808</v>
      </c>
      <c r="AA221" s="8">
        <v>0</v>
      </c>
      <c r="AC221" s="8">
        <v>375</v>
      </c>
      <c r="AE221" s="8">
        <f t="shared" si="9"/>
        <v>2466533</v>
      </c>
      <c r="AF221" s="8"/>
      <c r="AG221" s="55"/>
      <c r="AH221" s="55"/>
      <c r="AI221" s="55"/>
      <c r="AJ221" s="55"/>
      <c r="AK221" s="55"/>
      <c r="AL221" s="8">
        <f>+'Gov Rev'!AI221-'Gov Exp'!AE221+'Gov Exp'!AI221-'Gov Exp'!AK221</f>
        <v>144894</v>
      </c>
      <c r="AM221" s="6" t="str">
        <f>'Gov Rev'!A221</f>
        <v>Glendale</v>
      </c>
      <c r="AN221" s="6" t="str">
        <f t="shared" si="10"/>
        <v>Glendale</v>
      </c>
      <c r="AO221" s="6" t="b">
        <f t="shared" si="11"/>
        <v>1</v>
      </c>
    </row>
    <row r="222" spans="1:41" ht="12" customHeight="1" x14ac:dyDescent="0.2">
      <c r="A222" s="6" t="s">
        <v>465</v>
      </c>
      <c r="C222" s="6" t="s">
        <v>464</v>
      </c>
      <c r="E222" s="8">
        <v>1702</v>
      </c>
      <c r="G222" s="8">
        <v>0</v>
      </c>
      <c r="I222" s="8">
        <v>0</v>
      </c>
      <c r="K222" s="8">
        <v>0</v>
      </c>
      <c r="M222" s="8">
        <v>0</v>
      </c>
      <c r="O222" s="8">
        <v>20396.759999999998</v>
      </c>
      <c r="Q222" s="8">
        <v>28033.42</v>
      </c>
      <c r="S222" s="8">
        <v>0</v>
      </c>
      <c r="U222" s="8">
        <v>0</v>
      </c>
      <c r="W222" s="8">
        <v>0</v>
      </c>
      <c r="Y222" s="8">
        <v>0</v>
      </c>
      <c r="AA222" s="8">
        <v>0</v>
      </c>
      <c r="AC222" s="8">
        <v>1506.26</v>
      </c>
      <c r="AE222" s="8">
        <f t="shared" si="9"/>
        <v>51638.439999999995</v>
      </c>
      <c r="AF222" s="8"/>
      <c r="AG222" s="55">
        <v>-5877.21</v>
      </c>
      <c r="AH222" s="55"/>
      <c r="AI222" s="55">
        <v>59080.66</v>
      </c>
      <c r="AJ222" s="55"/>
      <c r="AK222" s="55">
        <v>53203.45</v>
      </c>
      <c r="AL222" s="8">
        <f>+'Gov Rev'!AI222-'Gov Exp'!AE222+'Gov Exp'!AI222-'Gov Exp'!AK222</f>
        <v>0</v>
      </c>
      <c r="AM222" s="6" t="str">
        <f>'Gov Rev'!A222</f>
        <v>Glenford</v>
      </c>
      <c r="AN222" s="6" t="str">
        <f t="shared" si="10"/>
        <v>Glenford</v>
      </c>
      <c r="AO222" s="6" t="b">
        <f t="shared" si="11"/>
        <v>1</v>
      </c>
    </row>
    <row r="223" spans="1:41" s="14" customFormat="1" ht="12" customHeight="1" x14ac:dyDescent="0.2">
      <c r="A223" s="6" t="s">
        <v>734</v>
      </c>
      <c r="B223" s="6"/>
      <c r="C223" s="6" t="s">
        <v>382</v>
      </c>
      <c r="D223" s="6"/>
      <c r="E223" s="8">
        <v>17755</v>
      </c>
      <c r="F223" s="8"/>
      <c r="G223" s="8">
        <v>0</v>
      </c>
      <c r="H223" s="8"/>
      <c r="I223" s="8">
        <v>0</v>
      </c>
      <c r="J223" s="8"/>
      <c r="K223" s="8">
        <v>0</v>
      </c>
      <c r="L223" s="8"/>
      <c r="M223" s="8">
        <v>910</v>
      </c>
      <c r="N223" s="8"/>
      <c r="O223" s="8">
        <v>2780</v>
      </c>
      <c r="P223" s="8"/>
      <c r="Q223" s="8">
        <v>15243</v>
      </c>
      <c r="R223" s="8"/>
      <c r="S223" s="8">
        <v>0</v>
      </c>
      <c r="T223" s="8"/>
      <c r="U223" s="8">
        <v>0</v>
      </c>
      <c r="V223" s="8"/>
      <c r="W223" s="8">
        <v>0</v>
      </c>
      <c r="X223" s="8"/>
      <c r="Y223" s="8">
        <v>0</v>
      </c>
      <c r="Z223" s="8"/>
      <c r="AA223" s="8">
        <v>0</v>
      </c>
      <c r="AB223" s="8"/>
      <c r="AC223" s="8">
        <v>0</v>
      </c>
      <c r="AD223" s="8"/>
      <c r="AE223" s="8">
        <f t="shared" si="9"/>
        <v>36688</v>
      </c>
      <c r="AF223" s="8"/>
      <c r="AG223" s="55"/>
      <c r="AH223" s="55"/>
      <c r="AI223" s="55"/>
      <c r="AJ223" s="55"/>
      <c r="AK223" s="55"/>
      <c r="AL223" s="8">
        <f>+'Gov Rev'!AI223-'Gov Exp'!AE223+'Gov Exp'!AI223-'Gov Exp'!AK223</f>
        <v>11174</v>
      </c>
      <c r="AM223" s="6" t="str">
        <f>'Gov Rev'!A223</f>
        <v>Glenmont</v>
      </c>
      <c r="AN223" s="6" t="str">
        <f t="shared" si="10"/>
        <v>Glenmont</v>
      </c>
      <c r="AO223" s="6" t="b">
        <f t="shared" si="11"/>
        <v>1</v>
      </c>
    </row>
    <row r="224" spans="1:41" s="14" customFormat="1" ht="12" customHeight="1" x14ac:dyDescent="0.2">
      <c r="A224" s="6" t="s">
        <v>47</v>
      </c>
      <c r="B224" s="6"/>
      <c r="C224" s="6" t="s">
        <v>293</v>
      </c>
      <c r="D224" s="6"/>
      <c r="E224" s="8">
        <v>1065344.0900000001</v>
      </c>
      <c r="F224" s="8"/>
      <c r="G224" s="8">
        <v>11472.18</v>
      </c>
      <c r="H224" s="8"/>
      <c r="I224" s="8">
        <v>7660.67</v>
      </c>
      <c r="J224" s="8"/>
      <c r="K224" s="8">
        <v>181404.09</v>
      </c>
      <c r="L224" s="8"/>
      <c r="M224" s="8">
        <v>0</v>
      </c>
      <c r="N224" s="8"/>
      <c r="O224" s="8">
        <v>603065.71</v>
      </c>
      <c r="P224" s="8"/>
      <c r="Q224" s="8">
        <v>1709479.19</v>
      </c>
      <c r="R224" s="8"/>
      <c r="S224" s="8">
        <v>1813898.69</v>
      </c>
      <c r="T224" s="8"/>
      <c r="U224" s="8">
        <v>1496000</v>
      </c>
      <c r="V224" s="8"/>
      <c r="W224" s="8">
        <v>103761.06</v>
      </c>
      <c r="X224" s="8"/>
      <c r="Y224" s="8">
        <v>506600</v>
      </c>
      <c r="Z224" s="8"/>
      <c r="AA224" s="8">
        <v>1118115.5</v>
      </c>
      <c r="AB224" s="8"/>
      <c r="AC224" s="8">
        <v>2950</v>
      </c>
      <c r="AD224" s="8"/>
      <c r="AE224" s="8">
        <f t="shared" si="9"/>
        <v>8619751.1799999997</v>
      </c>
      <c r="AF224" s="8"/>
      <c r="AG224" s="55">
        <v>-1093744.48</v>
      </c>
      <c r="AH224" s="55"/>
      <c r="AI224" s="55">
        <v>2717712.62</v>
      </c>
      <c r="AJ224" s="55"/>
      <c r="AK224" s="55">
        <v>1623968.14</v>
      </c>
      <c r="AL224" s="8">
        <f>+'Gov Rev'!AI224-'Gov Exp'!AE224+'Gov Exp'!AI224-'Gov Exp'!AK224</f>
        <v>0</v>
      </c>
      <c r="AM224" s="6" t="str">
        <f>'Gov Rev'!A224</f>
        <v>Glenwillow</v>
      </c>
      <c r="AN224" s="6" t="str">
        <f t="shared" si="10"/>
        <v>Glenwillow</v>
      </c>
      <c r="AO224" s="6" t="b">
        <f t="shared" si="11"/>
        <v>1</v>
      </c>
    </row>
    <row r="225" spans="1:41" ht="12" customHeight="1" x14ac:dyDescent="0.2">
      <c r="A225" s="6" t="s">
        <v>143</v>
      </c>
      <c r="C225" s="6" t="s">
        <v>823</v>
      </c>
      <c r="E225" s="8">
        <v>47328.57</v>
      </c>
      <c r="G225" s="8">
        <v>5030</v>
      </c>
      <c r="I225" s="8">
        <v>17696</v>
      </c>
      <c r="K225" s="8">
        <v>3809.88</v>
      </c>
      <c r="M225" s="8">
        <v>0</v>
      </c>
      <c r="O225" s="8">
        <v>12809.15</v>
      </c>
      <c r="Q225" s="8">
        <v>48124.65</v>
      </c>
      <c r="S225" s="8">
        <v>172291.12</v>
      </c>
      <c r="U225" s="8">
        <v>0</v>
      </c>
      <c r="W225" s="8">
        <v>0</v>
      </c>
      <c r="Y225" s="8">
        <v>0</v>
      </c>
      <c r="AA225" s="8">
        <v>0</v>
      </c>
      <c r="AC225" s="8">
        <v>0</v>
      </c>
      <c r="AE225" s="8">
        <f t="shared" si="9"/>
        <v>307089.37</v>
      </c>
      <c r="AF225" s="8"/>
      <c r="AG225" s="55">
        <v>-24537.99</v>
      </c>
      <c r="AH225" s="55"/>
      <c r="AI225" s="55">
        <v>269247.28999999998</v>
      </c>
      <c r="AJ225" s="55"/>
      <c r="AK225" s="55">
        <v>244709.3</v>
      </c>
      <c r="AL225" s="8">
        <f>+'Gov Rev'!AI225-'Gov Exp'!AE225+'Gov Exp'!AI225-'Gov Exp'!AK225</f>
        <v>0</v>
      </c>
      <c r="AM225" s="6" t="str">
        <f>'Gov Rev'!A225</f>
        <v>Gloria Glens Park</v>
      </c>
      <c r="AN225" s="6" t="str">
        <f t="shared" si="10"/>
        <v>Gloria Glens Park</v>
      </c>
      <c r="AO225" s="6" t="b">
        <f t="shared" si="11"/>
        <v>1</v>
      </c>
    </row>
    <row r="226" spans="1:41" ht="12" customHeight="1" x14ac:dyDescent="0.2">
      <c r="A226" s="6" t="s">
        <v>10</v>
      </c>
      <c r="C226" s="6" t="s">
        <v>253</v>
      </c>
      <c r="E226" s="8">
        <v>148474.23000000001</v>
      </c>
      <c r="G226" s="8">
        <v>0</v>
      </c>
      <c r="I226" s="8">
        <v>13394.13</v>
      </c>
      <c r="K226" s="8">
        <v>0</v>
      </c>
      <c r="M226" s="8">
        <v>0</v>
      </c>
      <c r="O226" s="8">
        <v>59207.360000000001</v>
      </c>
      <c r="Q226" s="8">
        <v>53592.45</v>
      </c>
      <c r="S226" s="8">
        <v>0</v>
      </c>
      <c r="U226" s="8">
        <v>57452.160000000003</v>
      </c>
      <c r="W226" s="8">
        <v>10946.45</v>
      </c>
      <c r="Y226" s="8">
        <v>36211</v>
      </c>
      <c r="AA226" s="8">
        <v>20285.32</v>
      </c>
      <c r="AC226" s="8">
        <v>0</v>
      </c>
      <c r="AE226" s="8">
        <f t="shared" si="9"/>
        <v>399563.10000000009</v>
      </c>
      <c r="AF226" s="8"/>
      <c r="AG226" s="55">
        <v>102963.44</v>
      </c>
      <c r="AH226" s="55"/>
      <c r="AI226" s="55">
        <v>133123.70000000001</v>
      </c>
      <c r="AJ226" s="55"/>
      <c r="AK226" s="55">
        <v>236087.14</v>
      </c>
      <c r="AL226" s="8">
        <f>+'Gov Rev'!AI226-'Gov Exp'!AE226+'Gov Exp'!AI226-'Gov Exp'!AK226</f>
        <v>0</v>
      </c>
      <c r="AM226" s="6" t="str">
        <f>'Gov Rev'!A226</f>
        <v>Glouster</v>
      </c>
      <c r="AN226" s="6" t="str">
        <f t="shared" si="10"/>
        <v>Glouster</v>
      </c>
      <c r="AO226" s="6" t="b">
        <f t="shared" si="11"/>
        <v>1</v>
      </c>
    </row>
    <row r="227" spans="1:41" ht="12" customHeight="1" x14ac:dyDescent="0.2">
      <c r="A227" s="6" t="s">
        <v>524</v>
      </c>
      <c r="C227" s="6" t="s">
        <v>521</v>
      </c>
      <c r="E227" s="8">
        <f>38323+62591</f>
        <v>100914</v>
      </c>
      <c r="G227" s="8">
        <v>339</v>
      </c>
      <c r="I227" s="8">
        <v>9606</v>
      </c>
      <c r="K227" s="8">
        <v>924</v>
      </c>
      <c r="M227" s="8">
        <f>212956+116258</f>
        <v>329214</v>
      </c>
      <c r="O227" s="8">
        <v>10500</v>
      </c>
      <c r="Q227" s="8">
        <f>58117+74656</f>
        <v>132773</v>
      </c>
      <c r="S227" s="8">
        <f>49520+40000</f>
        <v>89520</v>
      </c>
      <c r="U227" s="8">
        <f>23120+20000+193071</f>
        <v>236191</v>
      </c>
      <c r="W227" s="8">
        <v>0</v>
      </c>
      <c r="Y227" s="8">
        <v>0</v>
      </c>
      <c r="AA227" s="8">
        <v>0</v>
      </c>
      <c r="AC227" s="8">
        <v>0</v>
      </c>
      <c r="AE227" s="8">
        <f t="shared" si="9"/>
        <v>909981</v>
      </c>
      <c r="AF227" s="8"/>
      <c r="AG227" s="55"/>
      <c r="AH227" s="55"/>
      <c r="AI227" s="55"/>
      <c r="AJ227" s="55"/>
      <c r="AK227" s="55"/>
      <c r="AL227" s="8">
        <f>+'Gov Rev'!AI227-'Gov Exp'!AE227+'Gov Exp'!AI227-'Gov Exp'!AK227</f>
        <v>276063</v>
      </c>
      <c r="AM227" s="6" t="str">
        <f>'Gov Rev'!A227</f>
        <v>Gnadenhutten</v>
      </c>
      <c r="AN227" s="6" t="str">
        <f t="shared" si="10"/>
        <v>Gnadenhutten</v>
      </c>
      <c r="AO227" s="6" t="b">
        <f t="shared" si="11"/>
        <v>1</v>
      </c>
    </row>
    <row r="228" spans="1:41" ht="12" customHeight="1" x14ac:dyDescent="0.2">
      <c r="A228" s="6" t="s">
        <v>355</v>
      </c>
      <c r="C228" s="6" t="s">
        <v>351</v>
      </c>
      <c r="E228" s="8">
        <v>1834849</v>
      </c>
      <c r="G228" s="8">
        <v>2620</v>
      </c>
      <c r="I228" s="8">
        <v>0</v>
      </c>
      <c r="K228" s="8">
        <v>22885</v>
      </c>
      <c r="M228" s="8">
        <v>250921</v>
      </c>
      <c r="O228" s="8">
        <v>508189</v>
      </c>
      <c r="Q228" s="8">
        <v>1131790</v>
      </c>
      <c r="S228" s="8">
        <v>68861</v>
      </c>
      <c r="U228" s="8">
        <v>324511</v>
      </c>
      <c r="W228" s="8">
        <v>21567</v>
      </c>
      <c r="Y228" s="8">
        <v>680000</v>
      </c>
      <c r="AA228" s="8">
        <v>0</v>
      </c>
      <c r="AC228" s="8">
        <v>0</v>
      </c>
      <c r="AE228" s="8">
        <f t="shared" si="9"/>
        <v>4846193</v>
      </c>
      <c r="AF228" s="8"/>
      <c r="AG228" s="55"/>
      <c r="AH228" s="55"/>
      <c r="AI228" s="55"/>
      <c r="AJ228" s="55"/>
      <c r="AK228" s="55"/>
      <c r="AL228" s="8">
        <f>+'Gov Rev'!AI228-'Gov Exp'!AE228+'Gov Exp'!AI228-'Gov Exp'!AK228</f>
        <v>-319081</v>
      </c>
      <c r="AM228" s="6" t="str">
        <f>'Gov Rev'!A228</f>
        <v>Golf Manor</v>
      </c>
      <c r="AN228" s="6" t="str">
        <f t="shared" si="10"/>
        <v>Golf Manor</v>
      </c>
      <c r="AO228" s="6" t="b">
        <f t="shared" si="11"/>
        <v>1</v>
      </c>
    </row>
    <row r="229" spans="1:41" ht="12" customHeight="1" x14ac:dyDescent="0.2">
      <c r="A229" s="6" t="s">
        <v>308</v>
      </c>
      <c r="C229" s="6" t="s">
        <v>306</v>
      </c>
      <c r="E229" s="8">
        <v>7598.01</v>
      </c>
      <c r="G229" s="8">
        <v>902.66</v>
      </c>
      <c r="I229" s="8">
        <v>3643.71</v>
      </c>
      <c r="K229" s="8">
        <v>0</v>
      </c>
      <c r="M229" s="8">
        <v>10321.42</v>
      </c>
      <c r="O229" s="8">
        <v>7687.18</v>
      </c>
      <c r="Q229" s="8">
        <v>11354.29</v>
      </c>
      <c r="S229" s="8">
        <v>0</v>
      </c>
      <c r="U229" s="8">
        <v>0</v>
      </c>
      <c r="W229" s="8">
        <v>0</v>
      </c>
      <c r="Y229" s="8">
        <v>0</v>
      </c>
      <c r="AA229" s="8">
        <v>0</v>
      </c>
      <c r="AC229" s="8">
        <v>463.11</v>
      </c>
      <c r="AE229" s="8">
        <f t="shared" si="9"/>
        <v>41970.380000000005</v>
      </c>
      <c r="AF229" s="8"/>
      <c r="AG229" s="55">
        <v>-2551.52</v>
      </c>
      <c r="AH229" s="55"/>
      <c r="AI229" s="55">
        <v>129726.88</v>
      </c>
      <c r="AJ229" s="55"/>
      <c r="AK229" s="55">
        <v>127175.36</v>
      </c>
      <c r="AL229" s="8">
        <f>+'Gov Rev'!AI229-'Gov Exp'!AE229+'Gov Exp'!AI229-'Gov Exp'!AK229</f>
        <v>0</v>
      </c>
      <c r="AM229" s="6" t="str">
        <f>'Gov Rev'!A229</f>
        <v>Gordon</v>
      </c>
      <c r="AN229" s="6" t="str">
        <f t="shared" si="10"/>
        <v>Gordon</v>
      </c>
      <c r="AO229" s="6" t="b">
        <f t="shared" si="11"/>
        <v>1</v>
      </c>
    </row>
    <row r="230" spans="1:41" s="8" customFormat="1" ht="12" customHeight="1" x14ac:dyDescent="0.2">
      <c r="A230" s="6" t="s">
        <v>418</v>
      </c>
      <c r="B230" s="6"/>
      <c r="C230" s="6" t="s">
        <v>419</v>
      </c>
      <c r="D230" s="6"/>
      <c r="E230" s="8">
        <v>664409</v>
      </c>
      <c r="G230" s="8">
        <v>8368</v>
      </c>
      <c r="I230" s="8">
        <v>8359</v>
      </c>
      <c r="K230" s="8">
        <v>2843</v>
      </c>
      <c r="M230" s="8">
        <v>191572</v>
      </c>
      <c r="O230" s="8">
        <v>153903</v>
      </c>
      <c r="Q230" s="8">
        <v>579280</v>
      </c>
      <c r="S230" s="8">
        <v>218953</v>
      </c>
      <c r="U230" s="8">
        <v>176341</v>
      </c>
      <c r="W230" s="8">
        <v>9769</v>
      </c>
      <c r="Y230" s="8">
        <v>128621</v>
      </c>
      <c r="AA230" s="8">
        <v>0</v>
      </c>
      <c r="AC230" s="8">
        <v>0</v>
      </c>
      <c r="AE230" s="8">
        <f t="shared" si="9"/>
        <v>2142418</v>
      </c>
      <c r="AG230" s="55"/>
      <c r="AH230" s="55"/>
      <c r="AI230" s="55"/>
      <c r="AJ230" s="55"/>
      <c r="AK230" s="55"/>
      <c r="AL230" s="8">
        <f>+'Gov Rev'!AI230-'Gov Exp'!AE230+'Gov Exp'!AI230-'Gov Exp'!AK230</f>
        <v>414763</v>
      </c>
      <c r="AM230" s="6" t="str">
        <f>'Gov Rev'!A230</f>
        <v>Grafton</v>
      </c>
      <c r="AN230" s="6" t="str">
        <f t="shared" si="10"/>
        <v>Grafton</v>
      </c>
      <c r="AO230" s="6" t="b">
        <f t="shared" si="11"/>
        <v>1</v>
      </c>
    </row>
    <row r="231" spans="1:41" ht="12" customHeight="1" x14ac:dyDescent="0.2">
      <c r="A231" s="6" t="s">
        <v>237</v>
      </c>
      <c r="C231" s="6" t="s">
        <v>558</v>
      </c>
      <c r="E231" s="8">
        <v>98377.99</v>
      </c>
      <c r="G231" s="8">
        <v>811.2</v>
      </c>
      <c r="I231" s="8">
        <v>70012.960000000006</v>
      </c>
      <c r="K231" s="8">
        <v>2915.82</v>
      </c>
      <c r="M231" s="8">
        <v>9909.07</v>
      </c>
      <c r="O231" s="8">
        <v>36580.07</v>
      </c>
      <c r="Q231" s="8">
        <v>153094.09</v>
      </c>
      <c r="S231" s="8">
        <v>13116.72</v>
      </c>
      <c r="U231" s="8">
        <v>67721.240000000005</v>
      </c>
      <c r="W231" s="8">
        <v>5582.82</v>
      </c>
      <c r="Y231" s="8">
        <v>200078.35</v>
      </c>
      <c r="AA231" s="8">
        <v>0</v>
      </c>
      <c r="AC231" s="8">
        <v>15101.76</v>
      </c>
      <c r="AE231" s="8">
        <f t="shared" si="9"/>
        <v>673302.09000000008</v>
      </c>
      <c r="AF231" s="8"/>
      <c r="AG231" s="55">
        <v>62973.62</v>
      </c>
      <c r="AH231" s="55"/>
      <c r="AI231" s="55">
        <v>1189767.3400000001</v>
      </c>
      <c r="AJ231" s="55"/>
      <c r="AK231" s="55">
        <v>1252740.96</v>
      </c>
      <c r="AL231" s="8">
        <f>+'Gov Rev'!AI231-'Gov Exp'!AE231+'Gov Exp'!AI231-'Gov Exp'!AK231</f>
        <v>0</v>
      </c>
      <c r="AM231" s="6" t="str">
        <f>'Gov Rev'!A231</f>
        <v>Grand Rapids</v>
      </c>
      <c r="AN231" s="6" t="str">
        <f t="shared" si="10"/>
        <v>Grand Rapids</v>
      </c>
      <c r="AO231" s="6" t="b">
        <f t="shared" si="11"/>
        <v>1</v>
      </c>
    </row>
    <row r="232" spans="1:41" ht="12" customHeight="1" x14ac:dyDescent="0.2">
      <c r="A232" s="6" t="s">
        <v>400</v>
      </c>
      <c r="C232" s="6" t="s">
        <v>399</v>
      </c>
      <c r="E232" s="8">
        <v>354209</v>
      </c>
      <c r="G232" s="8">
        <v>3835</v>
      </c>
      <c r="I232" s="8">
        <v>1355</v>
      </c>
      <c r="K232" s="8">
        <v>5560</v>
      </c>
      <c r="M232" s="8">
        <v>0</v>
      </c>
      <c r="O232" s="8">
        <v>30780</v>
      </c>
      <c r="Q232" s="8">
        <f>155730+23220</f>
        <v>178950</v>
      </c>
      <c r="S232" s="8">
        <v>0</v>
      </c>
      <c r="U232" s="8">
        <v>7000</v>
      </c>
      <c r="W232" s="8">
        <v>10652</v>
      </c>
      <c r="Y232" s="8">
        <v>17652</v>
      </c>
      <c r="AA232" s="8">
        <v>0</v>
      </c>
      <c r="AC232" s="8">
        <v>0</v>
      </c>
      <c r="AE232" s="8">
        <f t="shared" si="9"/>
        <v>609993</v>
      </c>
      <c r="AF232" s="8"/>
      <c r="AG232" s="55"/>
      <c r="AH232" s="55"/>
      <c r="AI232" s="55"/>
      <c r="AJ232" s="55"/>
      <c r="AK232" s="55"/>
      <c r="AL232" s="8">
        <f>+'Gov Rev'!AI232-'Gov Exp'!AE232+'Gov Exp'!AI232-'Gov Exp'!AK232</f>
        <v>-55202</v>
      </c>
      <c r="AM232" s="6" t="str">
        <f>'Gov Rev'!A232</f>
        <v>Grand River</v>
      </c>
      <c r="AN232" s="6" t="str">
        <f t="shared" si="10"/>
        <v>Grand River</v>
      </c>
      <c r="AO232" s="6" t="b">
        <f t="shared" si="11"/>
        <v>1</v>
      </c>
    </row>
    <row r="233" spans="1:41" ht="12" customHeight="1" x14ac:dyDescent="0.2">
      <c r="A233" s="6" t="s">
        <v>407</v>
      </c>
      <c r="C233" s="6" t="s">
        <v>408</v>
      </c>
      <c r="E233" s="8">
        <v>1210059</v>
      </c>
      <c r="G233" s="8">
        <v>26941</v>
      </c>
      <c r="I233" s="8">
        <v>98315</v>
      </c>
      <c r="K233" s="8">
        <v>25000</v>
      </c>
      <c r="M233" s="8">
        <v>0</v>
      </c>
      <c r="O233" s="8">
        <v>1146304</v>
      </c>
      <c r="Q233" s="8">
        <v>1234574</v>
      </c>
      <c r="S233" s="8">
        <v>220023</v>
      </c>
      <c r="U233" s="8">
        <v>25294</v>
      </c>
      <c r="W233" s="8">
        <v>0</v>
      </c>
      <c r="Y233" s="8">
        <v>606012</v>
      </c>
      <c r="AA233" s="8">
        <v>0</v>
      </c>
      <c r="AC233" s="8">
        <v>0</v>
      </c>
      <c r="AE233" s="8">
        <f t="shared" si="9"/>
        <v>4592522</v>
      </c>
      <c r="AF233" s="8"/>
      <c r="AG233" s="55"/>
      <c r="AH233" s="55"/>
      <c r="AI233" s="55"/>
      <c r="AJ233" s="55"/>
      <c r="AK233" s="55"/>
      <c r="AL233" s="8">
        <f>+'Gov Rev'!AI233-'Gov Exp'!AE233+'Gov Exp'!AI233-'Gov Exp'!AK233</f>
        <v>313239</v>
      </c>
      <c r="AM233" s="6" t="str">
        <f>'Gov Rev'!A233</f>
        <v>Granville</v>
      </c>
      <c r="AN233" s="6" t="str">
        <f t="shared" si="10"/>
        <v>Granville</v>
      </c>
      <c r="AO233" s="6" t="b">
        <f t="shared" si="11"/>
        <v>1</v>
      </c>
    </row>
    <row r="234" spans="1:41" ht="12" customHeight="1" x14ac:dyDescent="0.2">
      <c r="A234" s="6" t="s">
        <v>409</v>
      </c>
      <c r="C234" s="6" t="s">
        <v>408</v>
      </c>
      <c r="E234" s="8">
        <v>5243</v>
      </c>
      <c r="G234" s="8">
        <v>263</v>
      </c>
      <c r="I234" s="8">
        <v>0</v>
      </c>
      <c r="K234" s="8">
        <v>0</v>
      </c>
      <c r="M234" s="8">
        <v>2018</v>
      </c>
      <c r="O234" s="8">
        <v>4689</v>
      </c>
      <c r="Q234" s="8">
        <v>11848</v>
      </c>
      <c r="S234" s="8">
        <v>0</v>
      </c>
      <c r="U234" s="8">
        <v>0</v>
      </c>
      <c r="W234" s="8">
        <v>0</v>
      </c>
      <c r="Y234" s="8">
        <v>0</v>
      </c>
      <c r="AA234" s="8">
        <v>0</v>
      </c>
      <c r="AC234" s="8">
        <v>0</v>
      </c>
      <c r="AE234" s="8">
        <f t="shared" si="9"/>
        <v>24061</v>
      </c>
      <c r="AF234" s="8"/>
      <c r="AG234" s="55"/>
      <c r="AH234" s="55"/>
      <c r="AI234" s="55"/>
      <c r="AJ234" s="55"/>
      <c r="AK234" s="55"/>
      <c r="AL234" s="8">
        <f>+'Gov Rev'!AI234-'Gov Exp'!AE234+'Gov Exp'!AI234-'Gov Exp'!AK234</f>
        <v>-568</v>
      </c>
      <c r="AM234" s="6" t="str">
        <f>'Gov Rev'!A234</f>
        <v>Gratiot</v>
      </c>
      <c r="AN234" s="6" t="str">
        <f t="shared" si="10"/>
        <v>Gratiot</v>
      </c>
      <c r="AO234" s="6" t="b">
        <f t="shared" si="11"/>
        <v>1</v>
      </c>
    </row>
    <row r="235" spans="1:41" ht="12" customHeight="1" x14ac:dyDescent="0.2">
      <c r="A235" s="6" t="s">
        <v>186</v>
      </c>
      <c r="C235" s="6" t="s">
        <v>472</v>
      </c>
      <c r="E235" s="8">
        <v>126165.37</v>
      </c>
      <c r="G235" s="8">
        <v>287187.84999999998</v>
      </c>
      <c r="I235" s="8">
        <v>0</v>
      </c>
      <c r="K235" s="8">
        <v>0</v>
      </c>
      <c r="M235" s="8">
        <v>0</v>
      </c>
      <c r="O235" s="8">
        <v>50278.89</v>
      </c>
      <c r="Q235" s="8">
        <v>48310.12</v>
      </c>
      <c r="S235" s="8">
        <v>83798.960000000006</v>
      </c>
      <c r="U235" s="8">
        <v>1140.4100000000001</v>
      </c>
      <c r="W235" s="8">
        <v>161.72</v>
      </c>
      <c r="Y235" s="8">
        <v>0</v>
      </c>
      <c r="AA235" s="8">
        <v>0</v>
      </c>
      <c r="AC235" s="8">
        <v>215.92</v>
      </c>
      <c r="AE235" s="8">
        <f t="shared" si="9"/>
        <v>597259.24</v>
      </c>
      <c r="AF235" s="8"/>
      <c r="AG235" s="55">
        <v>-121449.54</v>
      </c>
      <c r="AH235" s="55"/>
      <c r="AI235" s="55">
        <v>295155.59000000003</v>
      </c>
      <c r="AJ235" s="55"/>
      <c r="AK235" s="55">
        <v>173706.05</v>
      </c>
      <c r="AL235" s="8">
        <f>+'Gov Rev'!AI235-'Gov Exp'!AE235+'Gov Exp'!AI235-'Gov Exp'!AK235</f>
        <v>0</v>
      </c>
      <c r="AM235" s="6" t="str">
        <f>'Gov Rev'!A235</f>
        <v>Gratis</v>
      </c>
      <c r="AN235" s="6" t="str">
        <f t="shared" si="10"/>
        <v>Gratis</v>
      </c>
      <c r="AO235" s="6" t="b">
        <f t="shared" si="11"/>
        <v>1</v>
      </c>
    </row>
    <row r="236" spans="1:41" ht="12" customHeight="1" x14ac:dyDescent="0.2">
      <c r="A236" s="6" t="s">
        <v>442</v>
      </c>
      <c r="C236" s="6" t="s">
        <v>441</v>
      </c>
      <c r="E236" s="8">
        <v>1588</v>
      </c>
      <c r="G236" s="8">
        <v>1301</v>
      </c>
      <c r="I236" s="8">
        <v>0</v>
      </c>
      <c r="K236" s="8">
        <v>0</v>
      </c>
      <c r="M236" s="8">
        <v>0</v>
      </c>
      <c r="O236" s="8">
        <v>1385</v>
      </c>
      <c r="Q236" s="8">
        <v>3620</v>
      </c>
      <c r="S236" s="8">
        <v>0</v>
      </c>
      <c r="U236" s="8">
        <v>0</v>
      </c>
      <c r="W236" s="8">
        <v>0</v>
      </c>
      <c r="Y236" s="8">
        <v>0</v>
      </c>
      <c r="AA236" s="8">
        <v>0</v>
      </c>
      <c r="AC236" s="8">
        <v>0</v>
      </c>
      <c r="AE236" s="8">
        <f t="shared" si="9"/>
        <v>7894</v>
      </c>
      <c r="AF236" s="8"/>
      <c r="AG236" s="55"/>
      <c r="AH236" s="55"/>
      <c r="AI236" s="55"/>
      <c r="AJ236" s="55"/>
      <c r="AK236" s="55"/>
      <c r="AL236" s="8">
        <f>+'Gov Rev'!AI236-'Gov Exp'!AE236+'Gov Exp'!AI236-'Gov Exp'!AK236</f>
        <v>3393</v>
      </c>
      <c r="AM236" s="6" t="str">
        <f>'Gov Rev'!A236</f>
        <v>Graysville</v>
      </c>
      <c r="AN236" s="6" t="str">
        <f t="shared" si="10"/>
        <v>Graysville</v>
      </c>
      <c r="AO236" s="6" t="b">
        <f t="shared" si="11"/>
        <v>1</v>
      </c>
    </row>
    <row r="237" spans="1:41" ht="12" customHeight="1" x14ac:dyDescent="0.2">
      <c r="A237" s="6" t="s">
        <v>138</v>
      </c>
      <c r="C237" s="6" t="s">
        <v>430</v>
      </c>
      <c r="E237" s="8">
        <v>1470.92</v>
      </c>
      <c r="G237" s="8">
        <v>1212.42</v>
      </c>
      <c r="I237" s="8">
        <v>989.37</v>
      </c>
      <c r="K237" s="8">
        <v>903.1</v>
      </c>
      <c r="M237" s="8">
        <v>16073.62</v>
      </c>
      <c r="O237" s="8">
        <v>13081.71</v>
      </c>
      <c r="Q237" s="8">
        <v>29196.58</v>
      </c>
      <c r="S237" s="8">
        <v>0</v>
      </c>
      <c r="U237" s="8">
        <v>0</v>
      </c>
      <c r="W237" s="8">
        <v>0</v>
      </c>
      <c r="Y237" s="8">
        <v>0</v>
      </c>
      <c r="AA237" s="8">
        <v>0</v>
      </c>
      <c r="AC237" s="8">
        <v>9026.5</v>
      </c>
      <c r="AE237" s="8">
        <f t="shared" si="9"/>
        <v>71954.22</v>
      </c>
      <c r="AF237" s="8"/>
      <c r="AG237" s="55">
        <v>-5800.47</v>
      </c>
      <c r="AH237" s="55"/>
      <c r="AI237" s="55">
        <v>70138.52</v>
      </c>
      <c r="AJ237" s="55"/>
      <c r="AK237" s="55">
        <v>64338.05</v>
      </c>
      <c r="AL237" s="8">
        <f>+'Gov Rev'!AI237-'Gov Exp'!AE237+'Gov Exp'!AI237-'Gov Exp'!AK237</f>
        <v>0</v>
      </c>
      <c r="AM237" s="6" t="str">
        <f>'Gov Rev'!A237</f>
        <v>Green Camp</v>
      </c>
      <c r="AN237" s="6" t="str">
        <f t="shared" si="10"/>
        <v>Green Camp</v>
      </c>
      <c r="AO237" s="6" t="b">
        <f t="shared" si="11"/>
        <v>1</v>
      </c>
    </row>
    <row r="238" spans="1:41" s="14" customFormat="1" ht="12" customHeight="1" x14ac:dyDescent="0.2">
      <c r="A238" s="6" t="s">
        <v>204</v>
      </c>
      <c r="B238" s="6"/>
      <c r="C238" s="6" t="s">
        <v>494</v>
      </c>
      <c r="D238" s="6"/>
      <c r="E238" s="8">
        <v>185425.17</v>
      </c>
      <c r="F238" s="8"/>
      <c r="G238" s="8">
        <v>12606.06</v>
      </c>
      <c r="H238" s="8"/>
      <c r="I238" s="8">
        <v>36236.629999999997</v>
      </c>
      <c r="J238" s="8"/>
      <c r="K238" s="8">
        <v>2041.3</v>
      </c>
      <c r="L238" s="8"/>
      <c r="M238" s="8">
        <v>0</v>
      </c>
      <c r="N238" s="8"/>
      <c r="O238" s="8">
        <v>118224.11</v>
      </c>
      <c r="P238" s="8"/>
      <c r="Q238" s="8">
        <v>146407.29999999999</v>
      </c>
      <c r="R238" s="8"/>
      <c r="S238" s="8">
        <v>14479.25</v>
      </c>
      <c r="T238" s="8"/>
      <c r="U238" s="8">
        <v>7066.38</v>
      </c>
      <c r="V238" s="8"/>
      <c r="W238" s="8">
        <v>0</v>
      </c>
      <c r="X238" s="8"/>
      <c r="Y238" s="8">
        <v>95000</v>
      </c>
      <c r="Z238" s="8"/>
      <c r="AA238" s="8">
        <v>0</v>
      </c>
      <c r="AB238" s="8"/>
      <c r="AC238" s="8">
        <v>0</v>
      </c>
      <c r="AD238" s="8"/>
      <c r="AE238" s="8">
        <f t="shared" si="9"/>
        <v>617486.19999999995</v>
      </c>
      <c r="AF238" s="8"/>
      <c r="AG238" s="55">
        <v>204692.28</v>
      </c>
      <c r="AH238" s="55"/>
      <c r="AI238" s="55">
        <v>725641.14</v>
      </c>
      <c r="AJ238" s="55"/>
      <c r="AK238" s="55">
        <v>930333.42</v>
      </c>
      <c r="AL238" s="8">
        <f>+'Gov Rev'!AI238-'Gov Exp'!AE238+'Gov Exp'!AI238-'Gov Exp'!AK238</f>
        <v>0</v>
      </c>
      <c r="AM238" s="6" t="str">
        <f>'Gov Rev'!A238</f>
        <v>Green Springs</v>
      </c>
      <c r="AN238" s="6" t="str">
        <f t="shared" si="10"/>
        <v>Green Springs</v>
      </c>
      <c r="AO238" s="6" t="b">
        <f t="shared" si="11"/>
        <v>1</v>
      </c>
    </row>
    <row r="239" spans="1:41" ht="12" customHeight="1" x14ac:dyDescent="0.2">
      <c r="A239" s="8" t="s">
        <v>820</v>
      </c>
      <c r="B239" s="8"/>
      <c r="C239" s="8" t="s">
        <v>379</v>
      </c>
      <c r="D239" s="40"/>
      <c r="E239" s="8">
        <v>847839</v>
      </c>
      <c r="G239" s="8">
        <v>101626</v>
      </c>
      <c r="I239" s="8">
        <v>28611</v>
      </c>
      <c r="K239" s="8">
        <v>205019</v>
      </c>
      <c r="M239" s="8">
        <v>52604</v>
      </c>
      <c r="O239" s="8">
        <v>157220</v>
      </c>
      <c r="Q239" s="8">
        <v>334348</v>
      </c>
      <c r="S239" s="8">
        <v>186757</v>
      </c>
      <c r="U239" s="8">
        <v>528906</v>
      </c>
      <c r="W239" s="8">
        <v>18493</v>
      </c>
      <c r="Y239" s="8">
        <v>26830</v>
      </c>
      <c r="AA239" s="8">
        <v>0</v>
      </c>
      <c r="AC239" s="8">
        <v>3903</v>
      </c>
      <c r="AE239" s="8">
        <f t="shared" si="9"/>
        <v>2492156</v>
      </c>
      <c r="AF239" s="8"/>
      <c r="AG239" s="55"/>
      <c r="AH239" s="55"/>
      <c r="AI239" s="55"/>
      <c r="AJ239" s="55"/>
      <c r="AK239" s="55"/>
      <c r="AL239" s="8">
        <f>+'Gov Rev'!AI239-'Gov Exp'!AE239+'Gov Exp'!AI239-'Gov Exp'!AK239</f>
        <v>-210641</v>
      </c>
      <c r="AM239" s="6" t="str">
        <f>'Gov Rev'!A239</f>
        <v>Greenfield</v>
      </c>
      <c r="AN239" s="6" t="str">
        <f t="shared" si="10"/>
        <v>Greenfield</v>
      </c>
      <c r="AO239" s="6" t="b">
        <f t="shared" si="11"/>
        <v>1</v>
      </c>
    </row>
    <row r="240" spans="1:41" ht="12" customHeight="1" x14ac:dyDescent="0.2">
      <c r="A240" s="6" t="s">
        <v>89</v>
      </c>
      <c r="C240" s="6" t="s">
        <v>351</v>
      </c>
      <c r="E240" s="8">
        <v>854632.17</v>
      </c>
      <c r="G240" s="8">
        <v>0</v>
      </c>
      <c r="I240" s="8">
        <v>278685.45</v>
      </c>
      <c r="K240" s="8">
        <v>68294.16</v>
      </c>
      <c r="M240" s="8">
        <v>214380.36</v>
      </c>
      <c r="O240" s="8">
        <v>250917.2</v>
      </c>
      <c r="Q240" s="8">
        <v>1152906.6100000001</v>
      </c>
      <c r="S240" s="8">
        <v>136067.59</v>
      </c>
      <c r="U240" s="8">
        <v>499257.71</v>
      </c>
      <c r="W240" s="8">
        <v>143619.59</v>
      </c>
      <c r="Y240" s="8">
        <v>291500</v>
      </c>
      <c r="AA240" s="8">
        <v>0</v>
      </c>
      <c r="AC240" s="8">
        <v>0</v>
      </c>
      <c r="AE240" s="8">
        <f t="shared" si="9"/>
        <v>3890260.84</v>
      </c>
      <c r="AF240" s="8"/>
      <c r="AG240" s="55">
        <v>250755.94</v>
      </c>
      <c r="AH240" s="55"/>
      <c r="AI240" s="55">
        <v>1821994.54</v>
      </c>
      <c r="AJ240" s="55"/>
      <c r="AK240" s="55">
        <v>2072750.48</v>
      </c>
      <c r="AL240" s="8">
        <f>+'Gov Rev'!AI240-'Gov Exp'!AE240+'Gov Exp'!AI240-'Gov Exp'!AK240</f>
        <v>0</v>
      </c>
      <c r="AM240" s="6" t="str">
        <f>'Gov Rev'!A240</f>
        <v>Greenhills</v>
      </c>
      <c r="AN240" s="6" t="str">
        <f t="shared" si="10"/>
        <v>Greenhills</v>
      </c>
      <c r="AO240" s="6" t="b">
        <f t="shared" si="11"/>
        <v>1</v>
      </c>
    </row>
    <row r="241" spans="1:41" ht="12" customHeight="1" x14ac:dyDescent="0.2">
      <c r="A241" s="6" t="s">
        <v>108</v>
      </c>
      <c r="C241" s="6" t="s">
        <v>386</v>
      </c>
      <c r="E241" s="8">
        <v>307599.23</v>
      </c>
      <c r="G241" s="8">
        <v>13477.25</v>
      </c>
      <c r="I241" s="8">
        <v>17137.37</v>
      </c>
      <c r="K241" s="8">
        <v>0</v>
      </c>
      <c r="M241" s="8">
        <v>0</v>
      </c>
      <c r="O241" s="8">
        <v>123815.46</v>
      </c>
      <c r="Q241" s="8">
        <v>164329.35999999999</v>
      </c>
      <c r="S241" s="8">
        <v>0</v>
      </c>
      <c r="U241" s="8">
        <v>0</v>
      </c>
      <c r="W241" s="8">
        <v>0</v>
      </c>
      <c r="Y241" s="8">
        <v>184204.42</v>
      </c>
      <c r="AA241" s="8">
        <v>0</v>
      </c>
      <c r="AC241" s="8">
        <v>1006.1</v>
      </c>
      <c r="AE241" s="8">
        <f t="shared" si="9"/>
        <v>811569.19</v>
      </c>
      <c r="AF241" s="8"/>
      <c r="AG241" s="55">
        <v>-69559.39</v>
      </c>
      <c r="AH241" s="55"/>
      <c r="AI241" s="55">
        <v>505013.87</v>
      </c>
      <c r="AJ241" s="55"/>
      <c r="AK241" s="55">
        <v>435454.48</v>
      </c>
      <c r="AL241" s="8">
        <f>+'Gov Rev'!AI241-'Gov Exp'!AE241+'Gov Exp'!AI241-'Gov Exp'!AK241</f>
        <v>0</v>
      </c>
      <c r="AM241" s="6" t="str">
        <f>'Gov Rev'!A241</f>
        <v>Greenwich</v>
      </c>
      <c r="AN241" s="6" t="str">
        <f t="shared" si="10"/>
        <v>Greenwich</v>
      </c>
      <c r="AO241" s="6" t="b">
        <f t="shared" si="11"/>
        <v>1</v>
      </c>
    </row>
    <row r="242" spans="1:41" ht="12" customHeight="1" x14ac:dyDescent="0.2">
      <c r="A242" s="6" t="s">
        <v>636</v>
      </c>
      <c r="C242" s="6" t="s">
        <v>460</v>
      </c>
      <c r="E242" s="8">
        <v>39359</v>
      </c>
      <c r="G242" s="8">
        <v>86</v>
      </c>
      <c r="I242" s="8">
        <v>0</v>
      </c>
      <c r="K242" s="8">
        <v>0</v>
      </c>
      <c r="M242" s="8">
        <v>283</v>
      </c>
      <c r="O242" s="8">
        <v>10521</v>
      </c>
      <c r="Q242" s="8">
        <v>31902</v>
      </c>
      <c r="S242" s="8">
        <v>0</v>
      </c>
      <c r="U242" s="8">
        <v>0</v>
      </c>
      <c r="W242" s="8">
        <v>0</v>
      </c>
      <c r="Y242" s="8">
        <v>0</v>
      </c>
      <c r="AA242" s="8">
        <v>0</v>
      </c>
      <c r="AC242" s="8">
        <v>0</v>
      </c>
      <c r="AE242" s="8">
        <f t="shared" si="9"/>
        <v>82151</v>
      </c>
      <c r="AF242" s="8"/>
      <c r="AG242" s="55"/>
      <c r="AH242" s="55"/>
      <c r="AI242" s="55"/>
      <c r="AJ242" s="55"/>
      <c r="AK242" s="55"/>
      <c r="AL242" s="8">
        <f>+'Gov Rev'!AI242-'Gov Exp'!AE242+'Gov Exp'!AI242-'Gov Exp'!AK242</f>
        <v>24780</v>
      </c>
      <c r="AM242" s="6" t="str">
        <f>'Gov Rev'!A242</f>
        <v>Grower Hill</v>
      </c>
      <c r="AN242" s="6" t="str">
        <f t="shared" si="10"/>
        <v>Grower Hill</v>
      </c>
      <c r="AO242" s="6" t="b">
        <f t="shared" si="11"/>
        <v>1</v>
      </c>
    </row>
    <row r="243" spans="1:41" ht="12" customHeight="1" x14ac:dyDescent="0.2">
      <c r="A243" s="6" t="s">
        <v>339</v>
      </c>
      <c r="C243" s="6" t="s">
        <v>77</v>
      </c>
      <c r="E243" s="8">
        <v>98181.35</v>
      </c>
      <c r="G243" s="8">
        <v>167.94</v>
      </c>
      <c r="I243" s="8">
        <v>598.21</v>
      </c>
      <c r="K243" s="8">
        <v>0</v>
      </c>
      <c r="M243" s="8">
        <v>5218</v>
      </c>
      <c r="O243" s="8">
        <v>32443.95</v>
      </c>
      <c r="Q243" s="8">
        <v>51810.96</v>
      </c>
      <c r="S243" s="8">
        <v>29388</v>
      </c>
      <c r="U243" s="8">
        <v>0</v>
      </c>
      <c r="W243" s="8">
        <v>0</v>
      </c>
      <c r="Y243" s="8">
        <v>0</v>
      </c>
      <c r="AA243" s="8">
        <v>0</v>
      </c>
      <c r="AC243" s="8">
        <v>0</v>
      </c>
      <c r="AE243" s="8">
        <f t="shared" si="9"/>
        <v>217808.41</v>
      </c>
      <c r="AF243" s="8"/>
      <c r="AG243" s="55">
        <v>16172.22</v>
      </c>
      <c r="AH243" s="55"/>
      <c r="AI243" s="55">
        <v>322075.88</v>
      </c>
      <c r="AJ243" s="55"/>
      <c r="AK243" s="55">
        <v>338248.1</v>
      </c>
      <c r="AL243" s="8">
        <f>+'Gov Rev'!AI243-'Gov Exp'!AE243+'Gov Exp'!AI243-'Gov Exp'!AK243</f>
        <v>0</v>
      </c>
      <c r="AM243" s="6" t="str">
        <f>'Gov Rev'!A243</f>
        <v>Hamden</v>
      </c>
      <c r="AN243" s="6" t="str">
        <f t="shared" si="10"/>
        <v>Hamden</v>
      </c>
      <c r="AO243" s="6" t="b">
        <f t="shared" si="11"/>
        <v>1</v>
      </c>
    </row>
    <row r="244" spans="1:41" ht="12" customHeight="1" x14ac:dyDescent="0.2">
      <c r="A244" s="6" t="s">
        <v>23</v>
      </c>
      <c r="C244" s="6" t="s">
        <v>265</v>
      </c>
      <c r="E244" s="8">
        <v>25788.67</v>
      </c>
      <c r="G244" s="8">
        <v>0</v>
      </c>
      <c r="I244" s="8">
        <v>0</v>
      </c>
      <c r="K244" s="8">
        <v>0</v>
      </c>
      <c r="M244" s="8">
        <v>0</v>
      </c>
      <c r="O244" s="8">
        <v>14355.85</v>
      </c>
      <c r="Q244" s="8">
        <v>21118.48</v>
      </c>
      <c r="S244" s="8">
        <v>0</v>
      </c>
      <c r="U244" s="8">
        <v>30000</v>
      </c>
      <c r="W244" s="8">
        <v>45668.76</v>
      </c>
      <c r="Y244" s="8">
        <v>0</v>
      </c>
      <c r="AA244" s="8">
        <v>0</v>
      </c>
      <c r="AC244" s="8">
        <v>0</v>
      </c>
      <c r="AE244" s="8">
        <f t="shared" si="9"/>
        <v>136931.76</v>
      </c>
      <c r="AF244" s="8"/>
      <c r="AG244" s="55">
        <v>12956.26</v>
      </c>
      <c r="AH244" s="55"/>
      <c r="AI244" s="55">
        <v>137964.78</v>
      </c>
      <c r="AJ244" s="55"/>
      <c r="AK244" s="55">
        <v>150921.04</v>
      </c>
      <c r="AL244" s="8">
        <f>+'Gov Rev'!AI244-'Gov Exp'!AE244+'Gov Exp'!AI244-'Gov Exp'!AK244</f>
        <v>0</v>
      </c>
      <c r="AM244" s="6" t="str">
        <f>'Gov Rev'!A244</f>
        <v>Hamersville</v>
      </c>
      <c r="AN244" s="6" t="str">
        <f t="shared" si="10"/>
        <v>Hamersville</v>
      </c>
      <c r="AO244" s="6" t="b">
        <f t="shared" si="11"/>
        <v>1</v>
      </c>
    </row>
    <row r="245" spans="1:41" ht="12" customHeight="1" x14ac:dyDescent="0.2">
      <c r="A245" s="6" t="s">
        <v>800</v>
      </c>
      <c r="C245" s="6" t="s">
        <v>377</v>
      </c>
      <c r="E245" s="8">
        <v>63746.84</v>
      </c>
      <c r="G245" s="8">
        <v>486.83</v>
      </c>
      <c r="I245" s="8">
        <v>1000</v>
      </c>
      <c r="K245" s="8">
        <v>1683.62</v>
      </c>
      <c r="M245" s="8">
        <v>402.61</v>
      </c>
      <c r="O245" s="8">
        <v>38631.120000000003</v>
      </c>
      <c r="Q245" s="8">
        <v>99438.78</v>
      </c>
      <c r="S245" s="8">
        <v>0</v>
      </c>
      <c r="U245" s="8">
        <v>0</v>
      </c>
      <c r="W245" s="8">
        <v>0</v>
      </c>
      <c r="Y245" s="8">
        <v>0</v>
      </c>
      <c r="AA245" s="8">
        <v>0</v>
      </c>
      <c r="AC245" s="8">
        <v>4747.8100000000004</v>
      </c>
      <c r="AE245" s="8">
        <f t="shared" si="9"/>
        <v>210137.61</v>
      </c>
      <c r="AF245" s="8"/>
      <c r="AG245" s="55">
        <v>17018.36</v>
      </c>
      <c r="AH245" s="55"/>
      <c r="AI245" s="55">
        <v>204384.16</v>
      </c>
      <c r="AJ245" s="55"/>
      <c r="AK245" s="55">
        <v>221402.52</v>
      </c>
      <c r="AL245" s="8">
        <f>+'Gov Rev'!AI245-'Gov Exp'!AE245+'Gov Exp'!AI245-'Gov Exp'!AK245</f>
        <v>0</v>
      </c>
      <c r="AM245" s="6" t="str">
        <f>'Gov Rev'!A245</f>
        <v>Hamler</v>
      </c>
      <c r="AN245" s="6" t="str">
        <f t="shared" si="10"/>
        <v>Hamler</v>
      </c>
      <c r="AO245" s="6" t="b">
        <f t="shared" si="11"/>
        <v>1</v>
      </c>
    </row>
    <row r="246" spans="1:41" ht="12" customHeight="1" x14ac:dyDescent="0.2">
      <c r="A246" s="6" t="s">
        <v>118</v>
      </c>
      <c r="C246" s="6" t="s">
        <v>406</v>
      </c>
      <c r="E246" s="8">
        <v>204565.24</v>
      </c>
      <c r="G246" s="8">
        <v>0</v>
      </c>
      <c r="I246" s="8">
        <v>3043.14</v>
      </c>
      <c r="K246" s="8">
        <v>0</v>
      </c>
      <c r="M246" s="8">
        <v>0</v>
      </c>
      <c r="O246" s="8">
        <v>8324.68</v>
      </c>
      <c r="Q246" s="8">
        <v>112943.9</v>
      </c>
      <c r="S246" s="8">
        <v>824.25</v>
      </c>
      <c r="U246" s="8">
        <v>2009.03</v>
      </c>
      <c r="W246" s="8">
        <v>8.65</v>
      </c>
      <c r="Y246" s="8">
        <v>0</v>
      </c>
      <c r="AA246" s="8">
        <v>0</v>
      </c>
      <c r="AC246" s="8">
        <v>2260.9</v>
      </c>
      <c r="AE246" s="8">
        <f t="shared" si="9"/>
        <v>333979.79000000004</v>
      </c>
      <c r="AF246" s="8"/>
      <c r="AG246" s="55">
        <v>67326.41</v>
      </c>
      <c r="AH246" s="55"/>
      <c r="AI246" s="55">
        <v>22953.41</v>
      </c>
      <c r="AJ246" s="55"/>
      <c r="AK246" s="55">
        <v>90279.82</v>
      </c>
      <c r="AL246" s="8">
        <f>+'Gov Rev'!AI246-'Gov Exp'!AE246+'Gov Exp'!AI246-'Gov Exp'!AK246</f>
        <v>0</v>
      </c>
      <c r="AM246" s="6" t="str">
        <f>'Gov Rev'!A246</f>
        <v>Hanging Rock</v>
      </c>
      <c r="AN246" s="6" t="str">
        <f t="shared" si="10"/>
        <v>Hanging Rock</v>
      </c>
      <c r="AO246" s="6" t="b">
        <f t="shared" si="11"/>
        <v>1</v>
      </c>
    </row>
    <row r="247" spans="1:41" ht="12" customHeight="1" x14ac:dyDescent="0.2">
      <c r="A247" s="6" t="s">
        <v>703</v>
      </c>
      <c r="C247" s="6" t="s">
        <v>408</v>
      </c>
      <c r="E247" s="8">
        <v>82390.67</v>
      </c>
      <c r="G247" s="8">
        <v>0</v>
      </c>
      <c r="I247" s="8">
        <v>0</v>
      </c>
      <c r="K247" s="8">
        <v>0</v>
      </c>
      <c r="M247" s="8">
        <v>13977.39</v>
      </c>
      <c r="O247" s="8">
        <v>103094.23</v>
      </c>
      <c r="Q247" s="8">
        <v>58987.66</v>
      </c>
      <c r="S247" s="8">
        <v>0</v>
      </c>
      <c r="U247" s="8">
        <v>0</v>
      </c>
      <c r="W247" s="8">
        <v>0</v>
      </c>
      <c r="Y247" s="8">
        <v>0</v>
      </c>
      <c r="AA247" s="8">
        <v>0</v>
      </c>
      <c r="AC247" s="8">
        <v>0</v>
      </c>
      <c r="AE247" s="8">
        <f t="shared" si="9"/>
        <v>258449.94999999998</v>
      </c>
      <c r="AF247" s="8"/>
      <c r="AG247" s="55">
        <v>9373.48</v>
      </c>
      <c r="AH247" s="55"/>
      <c r="AI247" s="55">
        <v>123413.04</v>
      </c>
      <c r="AJ247" s="55"/>
      <c r="AK247" s="55">
        <v>132786.51999999999</v>
      </c>
      <c r="AL247" s="8">
        <f>+'Gov Rev'!AI247-'Gov Exp'!AE247+'Gov Exp'!AI247-'Gov Exp'!AK247</f>
        <v>0</v>
      </c>
      <c r="AM247" s="6" t="str">
        <f>'Gov Rev'!A247</f>
        <v>Hanover</v>
      </c>
      <c r="AN247" s="6" t="str">
        <f t="shared" si="10"/>
        <v>Hanover</v>
      </c>
      <c r="AO247" s="6" t="b">
        <f t="shared" si="11"/>
        <v>1</v>
      </c>
    </row>
    <row r="248" spans="1:41" ht="12" customHeight="1" x14ac:dyDescent="0.2">
      <c r="A248" s="6" t="s">
        <v>131</v>
      </c>
      <c r="C248" s="6" t="s">
        <v>423</v>
      </c>
      <c r="E248" s="8">
        <v>2491.11</v>
      </c>
      <c r="G248" s="8">
        <v>132.97999999999999</v>
      </c>
      <c r="I248" s="8">
        <v>203.89</v>
      </c>
      <c r="K248" s="8">
        <v>1384.86</v>
      </c>
      <c r="M248" s="8">
        <v>0</v>
      </c>
      <c r="O248" s="8">
        <v>15025.91</v>
      </c>
      <c r="Q248" s="8">
        <v>30057.08</v>
      </c>
      <c r="S248" s="8">
        <v>0</v>
      </c>
      <c r="U248" s="8">
        <v>0</v>
      </c>
      <c r="W248" s="8">
        <v>0</v>
      </c>
      <c r="Y248" s="8">
        <v>0</v>
      </c>
      <c r="AA248" s="8">
        <v>0</v>
      </c>
      <c r="AC248" s="8">
        <v>0</v>
      </c>
      <c r="AE248" s="8">
        <f t="shared" si="9"/>
        <v>49295.83</v>
      </c>
      <c r="AF248" s="8"/>
      <c r="AG248" s="55">
        <v>-5427.9</v>
      </c>
      <c r="AH248" s="55"/>
      <c r="AI248" s="55">
        <v>32963.120000000003</v>
      </c>
      <c r="AJ248" s="55"/>
      <c r="AK248" s="55">
        <v>27535.22</v>
      </c>
      <c r="AL248" s="8">
        <f>+'Gov Rev'!AI248-'Gov Exp'!AE248+'Gov Exp'!AI248-'Gov Exp'!AK248</f>
        <v>0</v>
      </c>
      <c r="AM248" s="6" t="str">
        <f>'Gov Rev'!A248</f>
        <v>Harbor View</v>
      </c>
      <c r="AN248" s="6" t="str">
        <f t="shared" si="10"/>
        <v>Harbor View</v>
      </c>
      <c r="AO248" s="6" t="b">
        <f t="shared" si="11"/>
        <v>1</v>
      </c>
    </row>
    <row r="249" spans="1:41" ht="12" customHeight="1" x14ac:dyDescent="0.2">
      <c r="A249" s="6" t="s">
        <v>246</v>
      </c>
      <c r="C249" s="6" t="s">
        <v>566</v>
      </c>
      <c r="E249" s="8">
        <v>7713.29</v>
      </c>
      <c r="G249" s="8">
        <v>576.52</v>
      </c>
      <c r="I249" s="8">
        <v>8598.49</v>
      </c>
      <c r="K249" s="8">
        <v>0</v>
      </c>
      <c r="M249" s="8">
        <v>0</v>
      </c>
      <c r="O249" s="8">
        <v>5342.43</v>
      </c>
      <c r="Q249" s="8">
        <v>15381.66</v>
      </c>
      <c r="S249" s="8">
        <v>0</v>
      </c>
      <c r="U249" s="8">
        <v>0</v>
      </c>
      <c r="W249" s="8">
        <v>0</v>
      </c>
      <c r="Y249" s="8">
        <v>0</v>
      </c>
      <c r="AA249" s="8">
        <v>0</v>
      </c>
      <c r="AC249" s="8">
        <v>86.94</v>
      </c>
      <c r="AE249" s="8">
        <f t="shared" si="9"/>
        <v>37699.33</v>
      </c>
      <c r="AF249" s="8"/>
      <c r="AG249" s="55">
        <v>1616.2</v>
      </c>
      <c r="AH249" s="55"/>
      <c r="AI249" s="55">
        <v>37966.79</v>
      </c>
      <c r="AJ249" s="55"/>
      <c r="AK249" s="55">
        <v>39582.99</v>
      </c>
      <c r="AL249" s="8">
        <f>+'Gov Rev'!AI249-'Gov Exp'!AE249+'Gov Exp'!AI249-'Gov Exp'!AK249</f>
        <v>0</v>
      </c>
      <c r="AM249" s="6" t="str">
        <f>'Gov Rev'!A249</f>
        <v>Harpster</v>
      </c>
      <c r="AN249" s="6" t="str">
        <f t="shared" si="10"/>
        <v>Harpster</v>
      </c>
      <c r="AO249" s="6" t="b">
        <f t="shared" si="11"/>
        <v>1</v>
      </c>
    </row>
    <row r="250" spans="1:41" ht="12" customHeight="1" x14ac:dyDescent="0.2">
      <c r="A250" s="6" t="s">
        <v>801</v>
      </c>
      <c r="C250" s="6" t="s">
        <v>329</v>
      </c>
      <c r="E250" s="8">
        <v>34646.06</v>
      </c>
      <c r="G250" s="8">
        <v>998.08</v>
      </c>
      <c r="I250" s="8">
        <v>0</v>
      </c>
      <c r="K250" s="8">
        <v>0</v>
      </c>
      <c r="M250" s="8">
        <v>0</v>
      </c>
      <c r="O250" s="8">
        <v>11294.48</v>
      </c>
      <c r="Q250" s="8">
        <v>68156.08</v>
      </c>
      <c r="S250" s="8">
        <v>0</v>
      </c>
      <c r="U250" s="8">
        <v>0</v>
      </c>
      <c r="W250" s="8">
        <v>0</v>
      </c>
      <c r="Y250" s="8">
        <v>0</v>
      </c>
      <c r="AA250" s="8">
        <v>0</v>
      </c>
      <c r="AC250" s="8">
        <v>0</v>
      </c>
      <c r="AE250" s="8">
        <f t="shared" si="9"/>
        <v>115094.7</v>
      </c>
      <c r="AF250" s="8"/>
      <c r="AG250" s="55">
        <v>-7668.73</v>
      </c>
      <c r="AH250" s="55"/>
      <c r="AI250" s="55">
        <v>53154.21</v>
      </c>
      <c r="AJ250" s="55"/>
      <c r="AK250" s="55">
        <v>45485.48</v>
      </c>
      <c r="AL250" s="8">
        <f>+'Gov Rev'!AI250-'Gov Exp'!AE250+'Gov Exp'!AI250-'Gov Exp'!AK250</f>
        <v>0</v>
      </c>
      <c r="AM250" s="6" t="str">
        <f>'Gov Rev'!A250</f>
        <v>Harrisburg</v>
      </c>
      <c r="AN250" s="6" t="str">
        <f t="shared" si="10"/>
        <v>Harrisburg</v>
      </c>
      <c r="AO250" s="6" t="b">
        <f t="shared" si="11"/>
        <v>1</v>
      </c>
    </row>
    <row r="251" spans="1:41" ht="12" customHeight="1" x14ac:dyDescent="0.2">
      <c r="A251" s="6" t="s">
        <v>715</v>
      </c>
      <c r="C251" s="6" t="s">
        <v>373</v>
      </c>
      <c r="E251" s="8">
        <v>31000.54</v>
      </c>
      <c r="G251" s="8">
        <v>171</v>
      </c>
      <c r="I251" s="8">
        <v>0</v>
      </c>
      <c r="K251" s="8">
        <v>0</v>
      </c>
      <c r="M251" s="8">
        <v>0</v>
      </c>
      <c r="O251" s="8">
        <v>22940.09</v>
      </c>
      <c r="Q251" s="8">
        <v>14800.39</v>
      </c>
      <c r="S251" s="8">
        <v>2690.61</v>
      </c>
      <c r="U251" s="8">
        <v>0</v>
      </c>
      <c r="W251" s="8">
        <v>0</v>
      </c>
      <c r="Y251" s="8">
        <v>0</v>
      </c>
      <c r="AA251" s="8">
        <v>0</v>
      </c>
      <c r="AC251" s="8">
        <v>107282.35</v>
      </c>
      <c r="AE251" s="8">
        <f t="shared" si="9"/>
        <v>178884.98</v>
      </c>
      <c r="AF251" s="8"/>
      <c r="AG251" s="55">
        <v>-32761.14</v>
      </c>
      <c r="AH251" s="55"/>
      <c r="AI251" s="55">
        <v>87235.79</v>
      </c>
      <c r="AJ251" s="55"/>
      <c r="AK251" s="55">
        <v>54474.65</v>
      </c>
      <c r="AL251" s="8">
        <f>+'Gov Rev'!AI251-'Gov Exp'!AE251+'Gov Exp'!AI251-'Gov Exp'!AK251</f>
        <v>0</v>
      </c>
      <c r="AM251" s="6" t="str">
        <f>'Gov Rev'!A251</f>
        <v>Harrisville</v>
      </c>
      <c r="AN251" s="6" t="str">
        <f t="shared" si="10"/>
        <v>Harrisville</v>
      </c>
      <c r="AO251" s="6" t="b">
        <f t="shared" si="11"/>
        <v>1</v>
      </c>
    </row>
    <row r="252" spans="1:41" ht="12" customHeight="1" x14ac:dyDescent="0.2">
      <c r="A252" s="6" t="s">
        <v>4</v>
      </c>
      <c r="C252" s="6" t="s">
        <v>651</v>
      </c>
      <c r="E252" s="8">
        <v>7248.1</v>
      </c>
      <c r="G252" s="8">
        <v>980.88</v>
      </c>
      <c r="I252" s="8">
        <v>2630.36</v>
      </c>
      <c r="K252" s="8">
        <v>0</v>
      </c>
      <c r="M252" s="8">
        <v>0</v>
      </c>
      <c r="O252" s="8">
        <v>14128.03</v>
      </c>
      <c r="Q252" s="8">
        <v>30484.47</v>
      </c>
      <c r="S252" s="8">
        <v>9926.57</v>
      </c>
      <c r="U252" s="8">
        <v>0</v>
      </c>
      <c r="W252" s="8">
        <v>0</v>
      </c>
      <c r="Y252" s="8">
        <v>0</v>
      </c>
      <c r="AA252" s="8">
        <v>0</v>
      </c>
      <c r="AC252" s="8">
        <v>0</v>
      </c>
      <c r="AE252" s="8">
        <f t="shared" si="9"/>
        <v>65398.41</v>
      </c>
      <c r="AF252" s="8"/>
      <c r="AG252" s="55">
        <v>47271.67</v>
      </c>
      <c r="AH252" s="55"/>
      <c r="AI252" s="55">
        <v>27458.25</v>
      </c>
      <c r="AJ252" s="55"/>
      <c r="AK252" s="55">
        <v>74729.919999999998</v>
      </c>
      <c r="AL252" s="8">
        <f>+'Gov Rev'!AI252-'Gov Exp'!AE252+'Gov Exp'!AI252-'Gov Exp'!AK252</f>
        <v>0</v>
      </c>
      <c r="AM252" s="6" t="str">
        <f>'Gov Rev'!A252</f>
        <v>Harrod</v>
      </c>
      <c r="AN252" s="6" t="str">
        <f t="shared" si="10"/>
        <v>Harrod</v>
      </c>
      <c r="AO252" s="6" t="b">
        <f t="shared" si="11"/>
        <v>1</v>
      </c>
    </row>
    <row r="253" spans="1:41" ht="12" customHeight="1" x14ac:dyDescent="0.2">
      <c r="A253" s="6" t="s">
        <v>410</v>
      </c>
      <c r="C253" s="6" t="s">
        <v>408</v>
      </c>
      <c r="E253" s="8">
        <v>13027.51</v>
      </c>
      <c r="G253" s="8">
        <v>0</v>
      </c>
      <c r="I253" s="8">
        <v>5029.96</v>
      </c>
      <c r="K253" s="8">
        <v>0</v>
      </c>
      <c r="M253" s="8">
        <v>0</v>
      </c>
      <c r="O253" s="8">
        <v>5081.05</v>
      </c>
      <c r="Q253" s="8">
        <v>26137.01</v>
      </c>
      <c r="S253" s="8">
        <v>0</v>
      </c>
      <c r="U253" s="8">
        <v>0</v>
      </c>
      <c r="W253" s="8">
        <v>0</v>
      </c>
      <c r="Y253" s="8">
        <v>0</v>
      </c>
      <c r="AA253" s="8">
        <v>0</v>
      </c>
      <c r="AC253" s="8">
        <v>0</v>
      </c>
      <c r="AE253" s="8">
        <f t="shared" si="9"/>
        <v>49275.53</v>
      </c>
      <c r="AF253" s="8"/>
      <c r="AG253" s="55">
        <v>5322.31</v>
      </c>
      <c r="AH253" s="55"/>
      <c r="AI253" s="55">
        <v>52539.33</v>
      </c>
      <c r="AJ253" s="55"/>
      <c r="AK253" s="55">
        <v>57861.64</v>
      </c>
      <c r="AL253" s="8">
        <f>+'Gov Rev'!AI253-'Gov Exp'!AE253+'Gov Exp'!AI253-'Gov Exp'!AK253</f>
        <v>0</v>
      </c>
      <c r="AM253" s="6" t="str">
        <f>'Gov Rev'!A253</f>
        <v>Hartford</v>
      </c>
      <c r="AN253" s="6" t="str">
        <f t="shared" si="10"/>
        <v>Hartford</v>
      </c>
      <c r="AO253" s="6" t="b">
        <f t="shared" si="11"/>
        <v>1</v>
      </c>
    </row>
    <row r="254" spans="1:41" ht="12" customHeight="1" x14ac:dyDescent="0.2">
      <c r="A254" s="6" t="s">
        <v>505</v>
      </c>
      <c r="C254" s="6" t="s">
        <v>502</v>
      </c>
      <c r="E254" s="8">
        <v>897219</v>
      </c>
      <c r="G254" s="8">
        <v>23609</v>
      </c>
      <c r="I254" s="8">
        <v>0</v>
      </c>
      <c r="K254" s="8">
        <v>9310</v>
      </c>
      <c r="M254" s="8">
        <v>0</v>
      </c>
      <c r="O254" s="8">
        <v>339087</v>
      </c>
      <c r="Q254" s="8">
        <v>254840</v>
      </c>
      <c r="S254" s="8">
        <v>233435</v>
      </c>
      <c r="U254" s="8">
        <v>0</v>
      </c>
      <c r="W254" s="8">
        <v>0</v>
      </c>
      <c r="Y254" s="8">
        <v>241000</v>
      </c>
      <c r="AA254" s="8">
        <v>8996</v>
      </c>
      <c r="AC254" s="8">
        <v>14306</v>
      </c>
      <c r="AE254" s="8">
        <f t="shared" si="9"/>
        <v>2021802</v>
      </c>
      <c r="AF254" s="8"/>
      <c r="AG254" s="55"/>
      <c r="AH254" s="55"/>
      <c r="AI254" s="55"/>
      <c r="AJ254" s="55"/>
      <c r="AK254" s="55"/>
      <c r="AL254" s="8">
        <f>+'Gov Rev'!AI254-'Gov Exp'!AE254+'Gov Exp'!AI254-'Gov Exp'!AK254</f>
        <v>315013</v>
      </c>
      <c r="AM254" s="6" t="str">
        <f>'Gov Rev'!A254</f>
        <v>Hartville</v>
      </c>
      <c r="AN254" s="6" t="str">
        <f t="shared" si="10"/>
        <v>Hartville</v>
      </c>
      <c r="AO254" s="6" t="b">
        <f t="shared" si="11"/>
        <v>1</v>
      </c>
    </row>
    <row r="255" spans="1:41" ht="12" customHeight="1" x14ac:dyDescent="0.2">
      <c r="A255" s="6" t="s">
        <v>540</v>
      </c>
      <c r="C255" s="6" t="s">
        <v>541</v>
      </c>
      <c r="E255" s="8">
        <v>66970.600000000006</v>
      </c>
      <c r="G255" s="8">
        <v>510.87</v>
      </c>
      <c r="I255" s="8">
        <v>3653.43</v>
      </c>
      <c r="K255" s="8">
        <v>1358.96</v>
      </c>
      <c r="M255" s="8">
        <v>33418.58</v>
      </c>
      <c r="O255" s="8">
        <v>49207.94</v>
      </c>
      <c r="Q255" s="8">
        <v>107519.03</v>
      </c>
      <c r="S255" s="8">
        <v>0</v>
      </c>
      <c r="U255" s="8">
        <v>0</v>
      </c>
      <c r="W255" s="8">
        <v>0</v>
      </c>
      <c r="Y255" s="8">
        <v>49000</v>
      </c>
      <c r="AA255" s="8">
        <v>0</v>
      </c>
      <c r="AC255" s="8">
        <v>0</v>
      </c>
      <c r="AE255" s="8">
        <f t="shared" si="9"/>
        <v>311639.41000000003</v>
      </c>
      <c r="AF255" s="8"/>
      <c r="AG255" s="55">
        <v>49377.279999999999</v>
      </c>
      <c r="AH255" s="55"/>
      <c r="AI255" s="55">
        <v>222458.04</v>
      </c>
      <c r="AJ255" s="55"/>
      <c r="AK255" s="55">
        <v>271835.32</v>
      </c>
      <c r="AL255" s="8">
        <f>+'Gov Rev'!AI255-'Gov Exp'!AE255+'Gov Exp'!AI255-'Gov Exp'!AK255</f>
        <v>0</v>
      </c>
      <c r="AM255" s="6" t="str">
        <f>'Gov Rev'!A255</f>
        <v>Harveysburg</v>
      </c>
      <c r="AN255" s="6" t="str">
        <f t="shared" si="10"/>
        <v>Harveysburg</v>
      </c>
      <c r="AO255" s="6" t="b">
        <f t="shared" si="11"/>
        <v>1</v>
      </c>
    </row>
    <row r="256" spans="1:41" ht="12" customHeight="1" x14ac:dyDescent="0.2">
      <c r="A256" s="6" t="s">
        <v>238</v>
      </c>
      <c r="C256" s="6" t="s">
        <v>558</v>
      </c>
      <c r="E256" s="8">
        <v>205482.19</v>
      </c>
      <c r="G256" s="8">
        <v>1782.39</v>
      </c>
      <c r="I256" s="8">
        <v>12476.25</v>
      </c>
      <c r="K256" s="8">
        <v>7317.17</v>
      </c>
      <c r="M256" s="8">
        <v>10266</v>
      </c>
      <c r="O256" s="8">
        <v>93202.69</v>
      </c>
      <c r="Q256" s="8">
        <v>113275.04</v>
      </c>
      <c r="S256" s="8">
        <v>37199.83</v>
      </c>
      <c r="U256" s="8">
        <v>0</v>
      </c>
      <c r="W256" s="8">
        <v>0</v>
      </c>
      <c r="Y256" s="8">
        <v>228674.14</v>
      </c>
      <c r="AA256" s="8">
        <v>0</v>
      </c>
      <c r="AC256" s="8">
        <v>0</v>
      </c>
      <c r="AE256" s="8">
        <f t="shared" si="9"/>
        <v>709675.70000000007</v>
      </c>
      <c r="AF256" s="8"/>
      <c r="AG256" s="55">
        <v>383918.39</v>
      </c>
      <c r="AH256" s="55"/>
      <c r="AI256" s="55">
        <v>672161.84</v>
      </c>
      <c r="AJ256" s="55"/>
      <c r="AK256" s="55">
        <v>1056080.23</v>
      </c>
      <c r="AL256" s="8">
        <f>+'Gov Rev'!AI256-'Gov Exp'!AE256+'Gov Exp'!AI256-'Gov Exp'!AK256</f>
        <v>0</v>
      </c>
      <c r="AM256" s="6" t="str">
        <f>'Gov Rev'!A256</f>
        <v>Haskins</v>
      </c>
      <c r="AN256" s="6" t="str">
        <f t="shared" si="10"/>
        <v>Haskins</v>
      </c>
      <c r="AO256" s="6" t="b">
        <f t="shared" si="11"/>
        <v>1</v>
      </c>
    </row>
    <row r="257" spans="1:41" ht="12" customHeight="1" x14ac:dyDescent="0.2">
      <c r="A257" s="6" t="s">
        <v>169</v>
      </c>
      <c r="C257" s="6" t="s">
        <v>460</v>
      </c>
      <c r="E257" s="8">
        <v>10960.65</v>
      </c>
      <c r="G257" s="8">
        <v>0</v>
      </c>
      <c r="I257" s="8">
        <v>1585.35</v>
      </c>
      <c r="K257" s="8">
        <v>0</v>
      </c>
      <c r="M257" s="8">
        <v>0</v>
      </c>
      <c r="O257" s="8">
        <v>21892.26</v>
      </c>
      <c r="Q257" s="8">
        <v>33988.94</v>
      </c>
      <c r="S257" s="8">
        <v>0</v>
      </c>
      <c r="U257" s="8">
        <v>0</v>
      </c>
      <c r="W257" s="8">
        <v>0</v>
      </c>
      <c r="Y257" s="8">
        <v>0</v>
      </c>
      <c r="AA257" s="8">
        <v>0</v>
      </c>
      <c r="AC257" s="8">
        <v>0</v>
      </c>
      <c r="AE257" s="8">
        <f t="shared" si="9"/>
        <v>68427.199999999997</v>
      </c>
      <c r="AF257" s="8"/>
      <c r="AG257" s="55">
        <v>3645.37</v>
      </c>
      <c r="AH257" s="55"/>
      <c r="AI257" s="55">
        <v>244009.79</v>
      </c>
      <c r="AJ257" s="55"/>
      <c r="AK257" s="55">
        <v>247655.16</v>
      </c>
      <c r="AL257" s="8">
        <f>+'Gov Rev'!AI257-'Gov Exp'!AE257+'Gov Exp'!AI257-'Gov Exp'!AK257</f>
        <v>0</v>
      </c>
      <c r="AM257" s="6" t="str">
        <f>'Gov Rev'!A257</f>
        <v>Haviland</v>
      </c>
      <c r="AN257" s="6" t="str">
        <f t="shared" si="10"/>
        <v>Haviland</v>
      </c>
      <c r="AO257" s="6" t="b">
        <f t="shared" si="11"/>
        <v>1</v>
      </c>
    </row>
    <row r="258" spans="1:41" ht="12" customHeight="1" x14ac:dyDescent="0.2">
      <c r="A258" s="6" t="s">
        <v>7</v>
      </c>
      <c r="C258" s="6" t="s">
        <v>848</v>
      </c>
      <c r="E258" s="8">
        <v>10916.62</v>
      </c>
      <c r="G258" s="8">
        <v>0</v>
      </c>
      <c r="I258" s="8">
        <v>25.18</v>
      </c>
      <c r="K258" s="8">
        <v>400</v>
      </c>
      <c r="M258" s="8">
        <v>0</v>
      </c>
      <c r="O258" s="8">
        <v>12676.88</v>
      </c>
      <c r="Q258" s="8">
        <v>47480.15</v>
      </c>
      <c r="S258" s="8">
        <v>0</v>
      </c>
      <c r="U258" s="8">
        <v>0</v>
      </c>
      <c r="W258" s="8">
        <v>0</v>
      </c>
      <c r="Y258" s="8">
        <v>0</v>
      </c>
      <c r="AA258" s="8">
        <v>0</v>
      </c>
      <c r="AC258" s="8">
        <v>0</v>
      </c>
      <c r="AE258" s="8">
        <f t="shared" si="9"/>
        <v>71498.83</v>
      </c>
      <c r="AF258" s="8"/>
      <c r="AG258" s="55">
        <v>8112.54</v>
      </c>
      <c r="AH258" s="55"/>
      <c r="AI258" s="55">
        <v>82580.05</v>
      </c>
      <c r="AJ258" s="55"/>
      <c r="AK258" s="55">
        <v>90692.59</v>
      </c>
      <c r="AL258" s="8">
        <f>+'Gov Rev'!AI258-'Gov Exp'!AE258+'Gov Exp'!AI258-'Gov Exp'!AK258</f>
        <v>0</v>
      </c>
      <c r="AM258" s="6" t="str">
        <f>'Gov Rev'!A258</f>
        <v>Hayesville</v>
      </c>
      <c r="AN258" s="6" t="str">
        <f t="shared" si="10"/>
        <v>Hayesville</v>
      </c>
      <c r="AO258" s="6" t="b">
        <f t="shared" si="11"/>
        <v>1</v>
      </c>
    </row>
    <row r="259" spans="1:41" ht="12" customHeight="1" x14ac:dyDescent="0.2">
      <c r="A259" s="6" t="s">
        <v>411</v>
      </c>
      <c r="C259" s="6" t="s">
        <v>408</v>
      </c>
      <c r="E259" s="8">
        <v>1995346.56</v>
      </c>
      <c r="G259" s="8">
        <v>892.22</v>
      </c>
      <c r="I259" s="8">
        <v>24696.77</v>
      </c>
      <c r="K259" s="8">
        <v>64213.47</v>
      </c>
      <c r="M259" s="8">
        <v>0</v>
      </c>
      <c r="O259" s="8">
        <v>544472</v>
      </c>
      <c r="Q259" s="8">
        <v>354980.94</v>
      </c>
      <c r="S259" s="8">
        <v>523279.46</v>
      </c>
      <c r="U259" s="8">
        <v>1537687.62</v>
      </c>
      <c r="W259" s="8">
        <v>66216.850000000006</v>
      </c>
      <c r="Y259" s="8">
        <v>1144736.2</v>
      </c>
      <c r="AA259" s="8">
        <v>0</v>
      </c>
      <c r="AC259" s="8">
        <v>0</v>
      </c>
      <c r="AE259" s="8">
        <f t="shared" si="9"/>
        <v>6256522.0899999999</v>
      </c>
      <c r="AF259" s="8"/>
      <c r="AG259" s="55">
        <v>-137534.96</v>
      </c>
      <c r="AH259" s="55"/>
      <c r="AI259" s="55">
        <v>2652431.56</v>
      </c>
      <c r="AJ259" s="55"/>
      <c r="AK259" s="55">
        <v>2514896.6</v>
      </c>
      <c r="AL259" s="8">
        <f>+'Gov Rev'!AI259-'Gov Exp'!AE259+'Gov Exp'!AI259-'Gov Exp'!AK259</f>
        <v>0</v>
      </c>
      <c r="AM259" s="6" t="str">
        <f>'Gov Rev'!A259</f>
        <v>Hebron</v>
      </c>
      <c r="AN259" s="6" t="str">
        <f t="shared" si="10"/>
        <v>Hebron</v>
      </c>
      <c r="AO259" s="6" t="b">
        <f t="shared" si="11"/>
        <v>1</v>
      </c>
    </row>
    <row r="260" spans="1:41" ht="12" customHeight="1" x14ac:dyDescent="0.2">
      <c r="A260" s="6" t="s">
        <v>199</v>
      </c>
      <c r="C260" s="6" t="s">
        <v>487</v>
      </c>
      <c r="E260" s="8">
        <v>4559.76</v>
      </c>
      <c r="G260" s="8">
        <v>784.34</v>
      </c>
      <c r="I260" s="8">
        <v>1129.3599999999999</v>
      </c>
      <c r="K260" s="8">
        <v>9602</v>
      </c>
      <c r="M260" s="8">
        <v>13385.84</v>
      </c>
      <c r="O260" s="8">
        <v>7589.04</v>
      </c>
      <c r="Q260" s="8">
        <v>30474.77</v>
      </c>
      <c r="S260" s="8">
        <v>0</v>
      </c>
      <c r="U260" s="8">
        <v>0</v>
      </c>
      <c r="W260" s="8">
        <v>0</v>
      </c>
      <c r="Y260" s="8">
        <v>0</v>
      </c>
      <c r="AA260" s="8">
        <v>0</v>
      </c>
      <c r="AC260" s="8">
        <v>0</v>
      </c>
      <c r="AE260" s="8">
        <f t="shared" si="9"/>
        <v>67525.11</v>
      </c>
      <c r="AF260" s="8"/>
      <c r="AG260" s="55">
        <v>-4695.4799999999996</v>
      </c>
      <c r="AH260" s="55"/>
      <c r="AI260" s="55">
        <v>417784.06</v>
      </c>
      <c r="AJ260" s="55"/>
      <c r="AK260" s="55">
        <v>413088.58</v>
      </c>
      <c r="AL260" s="8">
        <f>+'Gov Rev'!AI260-'Gov Exp'!AE260+'Gov Exp'!AI260-'Gov Exp'!AK260</f>
        <v>0</v>
      </c>
      <c r="AM260" s="6" t="str">
        <f>'Gov Rev'!A260</f>
        <v>Helena</v>
      </c>
      <c r="AN260" s="6" t="str">
        <f t="shared" si="10"/>
        <v>Helena</v>
      </c>
      <c r="AO260" s="6" t="b">
        <f t="shared" si="11"/>
        <v>1</v>
      </c>
    </row>
    <row r="261" spans="1:41" ht="12" customHeight="1" x14ac:dyDescent="0.2">
      <c r="A261" s="6" t="s">
        <v>318</v>
      </c>
      <c r="C261" s="6" t="s">
        <v>319</v>
      </c>
      <c r="E261" s="8">
        <v>693386</v>
      </c>
      <c r="G261" s="8">
        <v>27500</v>
      </c>
      <c r="I261" s="8">
        <v>85548</v>
      </c>
      <c r="K261" s="8">
        <f>17000+11563+16040</f>
        <v>44603</v>
      </c>
      <c r="M261" s="8">
        <v>120995</v>
      </c>
      <c r="O261" s="8">
        <v>369360</v>
      </c>
      <c r="Q261" s="8">
        <v>412796</v>
      </c>
      <c r="S261" s="8">
        <v>176838</v>
      </c>
      <c r="U261" s="8">
        <v>10000</v>
      </c>
      <c r="W261" s="8">
        <v>100000</v>
      </c>
      <c r="Y261" s="8">
        <v>440000</v>
      </c>
      <c r="AA261" s="8">
        <v>0</v>
      </c>
      <c r="AC261" s="8">
        <f>31944+19447+452+1730</f>
        <v>53573</v>
      </c>
      <c r="AE261" s="8">
        <f t="shared" si="9"/>
        <v>2534599</v>
      </c>
      <c r="AF261" s="8"/>
      <c r="AG261" s="55"/>
      <c r="AH261" s="55"/>
      <c r="AI261" s="55"/>
      <c r="AJ261" s="55"/>
      <c r="AK261" s="55"/>
      <c r="AL261" s="8">
        <f>+'Gov Rev'!AI261-'Gov Exp'!AE261+'Gov Exp'!AI261-'Gov Exp'!AK261</f>
        <v>334045</v>
      </c>
      <c r="AM261" s="6" t="str">
        <f>'Gov Rev'!A261</f>
        <v>Hicksville</v>
      </c>
      <c r="AN261" s="6" t="str">
        <f t="shared" si="10"/>
        <v>Hicksville</v>
      </c>
      <c r="AO261" s="6" t="b">
        <f t="shared" si="11"/>
        <v>1</v>
      </c>
    </row>
    <row r="262" spans="1:41" ht="12" customHeight="1" x14ac:dyDescent="0.2">
      <c r="A262" s="6" t="s">
        <v>831</v>
      </c>
      <c r="C262" s="6" t="s">
        <v>685</v>
      </c>
      <c r="E262" s="8">
        <v>36495</v>
      </c>
      <c r="G262" s="8">
        <v>0</v>
      </c>
      <c r="I262" s="8">
        <v>0</v>
      </c>
      <c r="K262" s="8">
        <v>0</v>
      </c>
      <c r="M262" s="8">
        <v>830</v>
      </c>
      <c r="O262" s="8">
        <v>16848</v>
      </c>
      <c r="Q262" s="8">
        <v>5617</v>
      </c>
      <c r="S262" s="8">
        <v>0</v>
      </c>
      <c r="U262" s="8">
        <v>0</v>
      </c>
      <c r="W262" s="8">
        <v>0</v>
      </c>
      <c r="Y262" s="8">
        <v>2142</v>
      </c>
      <c r="AA262" s="8">
        <v>0</v>
      </c>
      <c r="AC262" s="8">
        <v>0</v>
      </c>
      <c r="AE262" s="8">
        <f t="shared" si="9"/>
        <v>61932</v>
      </c>
      <c r="AF262" s="8"/>
      <c r="AG262" s="55"/>
      <c r="AH262" s="55"/>
      <c r="AI262" s="55"/>
      <c r="AJ262" s="55"/>
      <c r="AK262" s="55"/>
      <c r="AL262" s="8">
        <f>+'Gov Rev'!AI262-'Gov Exp'!AE262+'Gov Exp'!AI262-'Gov Exp'!AK262</f>
        <v>59375</v>
      </c>
      <c r="AM262" s="6" t="str">
        <f>'Gov Rev'!A262</f>
        <v>Higginsport</v>
      </c>
      <c r="AN262" s="6" t="str">
        <f t="shared" si="10"/>
        <v>Higginsport</v>
      </c>
      <c r="AO262" s="6" t="b">
        <f t="shared" si="11"/>
        <v>1</v>
      </c>
    </row>
    <row r="263" spans="1:41" ht="12" customHeight="1" x14ac:dyDescent="0.2">
      <c r="A263" s="6" t="s">
        <v>379</v>
      </c>
      <c r="C263" s="6" t="s">
        <v>379</v>
      </c>
      <c r="E263" s="8">
        <v>8570</v>
      </c>
      <c r="G263" s="8">
        <v>0</v>
      </c>
      <c r="I263" s="8">
        <v>5060</v>
      </c>
      <c r="K263" s="8">
        <v>0</v>
      </c>
      <c r="M263" s="8">
        <v>11047</v>
      </c>
      <c r="O263" s="8">
        <v>0</v>
      </c>
      <c r="Q263" s="8">
        <v>21997</v>
      </c>
      <c r="S263" s="8">
        <v>0</v>
      </c>
      <c r="U263" s="8">
        <v>1950</v>
      </c>
      <c r="W263" s="8">
        <v>0</v>
      </c>
      <c r="Y263" s="8">
        <v>0</v>
      </c>
      <c r="AA263" s="8">
        <v>0</v>
      </c>
      <c r="AC263" s="8">
        <v>0</v>
      </c>
      <c r="AE263" s="8">
        <f t="shared" si="9"/>
        <v>48624</v>
      </c>
      <c r="AF263" s="8"/>
      <c r="AG263" s="55"/>
      <c r="AH263" s="55"/>
      <c r="AI263" s="55"/>
      <c r="AJ263" s="55"/>
      <c r="AK263" s="55"/>
      <c r="AL263" s="8">
        <f>+'Gov Rev'!AI263-'Gov Exp'!AE263+'Gov Exp'!AI263-'Gov Exp'!AK263</f>
        <v>-8331</v>
      </c>
      <c r="AM263" s="6" t="str">
        <f>'Gov Rev'!A263</f>
        <v>Highland</v>
      </c>
      <c r="AN263" s="6" t="str">
        <f t="shared" si="10"/>
        <v>Highland</v>
      </c>
      <c r="AO263" s="6" t="b">
        <f t="shared" si="11"/>
        <v>1</v>
      </c>
    </row>
    <row r="264" spans="1:41" x14ac:dyDescent="0.2">
      <c r="A264" s="6" t="s">
        <v>821</v>
      </c>
      <c r="C264" s="6" t="s">
        <v>293</v>
      </c>
      <c r="E264" s="8">
        <v>1516662</v>
      </c>
      <c r="G264" s="8">
        <v>0</v>
      </c>
      <c r="I264" s="8">
        <v>0</v>
      </c>
      <c r="K264" s="8">
        <v>647225</v>
      </c>
      <c r="M264" s="8">
        <v>74335</v>
      </c>
      <c r="O264" s="8">
        <v>338150</v>
      </c>
      <c r="Q264" s="8">
        <v>1244405</v>
      </c>
      <c r="S264" s="8">
        <v>69016</v>
      </c>
      <c r="U264" s="8">
        <v>2037181</v>
      </c>
      <c r="W264" s="8">
        <v>86469</v>
      </c>
      <c r="Y264" s="8">
        <v>1090970</v>
      </c>
      <c r="AA264" s="8">
        <v>0</v>
      </c>
      <c r="AC264" s="8">
        <v>0</v>
      </c>
      <c r="AE264" s="8">
        <f t="shared" si="9"/>
        <v>7104413</v>
      </c>
      <c r="AF264" s="8"/>
      <c r="AG264" s="55"/>
      <c r="AH264" s="55"/>
      <c r="AI264" s="55"/>
      <c r="AJ264" s="55"/>
      <c r="AK264" s="55"/>
      <c r="AL264" s="8">
        <f>+'Gov Rev'!AI264-'Gov Exp'!AE264+'Gov Exp'!AI264-'Gov Exp'!AK264</f>
        <v>231848</v>
      </c>
      <c r="AM264" s="6" t="str">
        <f>'Gov Rev'!A264</f>
        <v>Highland Hills</v>
      </c>
      <c r="AN264" s="6" t="str">
        <f t="shared" si="10"/>
        <v>Highland Hills</v>
      </c>
      <c r="AO264" s="6" t="b">
        <f t="shared" si="11"/>
        <v>1</v>
      </c>
    </row>
    <row r="265" spans="1:41" x14ac:dyDescent="0.2">
      <c r="A265" s="6" t="s">
        <v>210</v>
      </c>
      <c r="C265" s="6" t="s">
        <v>502</v>
      </c>
      <c r="E265" s="8">
        <v>240196.51</v>
      </c>
      <c r="G265" s="8">
        <v>2244</v>
      </c>
      <c r="I265" s="8">
        <v>61063.53</v>
      </c>
      <c r="K265" s="8">
        <v>1372.15</v>
      </c>
      <c r="M265" s="8">
        <v>33556.03</v>
      </c>
      <c r="O265" s="8">
        <v>11525.99</v>
      </c>
      <c r="Q265" s="8">
        <v>50583.03</v>
      </c>
      <c r="S265" s="8">
        <v>18742.990000000002</v>
      </c>
      <c r="U265" s="8">
        <v>0</v>
      </c>
      <c r="W265" s="8">
        <v>0</v>
      </c>
      <c r="Y265" s="8">
        <v>0</v>
      </c>
      <c r="AA265" s="8">
        <v>0</v>
      </c>
      <c r="AC265" s="8">
        <v>0</v>
      </c>
      <c r="AE265" s="8">
        <f t="shared" si="9"/>
        <v>419284.2300000001</v>
      </c>
      <c r="AF265" s="8"/>
      <c r="AG265" s="55">
        <v>34667.32</v>
      </c>
      <c r="AH265" s="55"/>
      <c r="AI265" s="55">
        <v>1827144.08</v>
      </c>
      <c r="AJ265" s="55"/>
      <c r="AK265" s="55">
        <v>1861811.4</v>
      </c>
      <c r="AL265" s="8">
        <f>+'Gov Rev'!AI265-'Gov Exp'!AE265+'Gov Exp'!AI265-'Gov Exp'!AK265</f>
        <v>0</v>
      </c>
      <c r="AM265" s="6" t="str">
        <f>'Gov Rev'!A265</f>
        <v>Hills And Dales</v>
      </c>
      <c r="AN265" s="6" t="str">
        <f t="shared" si="10"/>
        <v>Hills And Dales</v>
      </c>
      <c r="AO265" s="6" t="b">
        <f t="shared" si="11"/>
        <v>1</v>
      </c>
    </row>
    <row r="266" spans="1:41" x14ac:dyDescent="0.2">
      <c r="AE266" s="8"/>
      <c r="AF266" s="8"/>
      <c r="AG266" s="55"/>
      <c r="AH266" s="55"/>
      <c r="AI266" s="55"/>
      <c r="AJ266" s="55"/>
      <c r="AK266" s="55"/>
      <c r="AL266" s="8"/>
    </row>
    <row r="267" spans="1:41" ht="12.75" x14ac:dyDescent="0.2">
      <c r="AE267" s="88" t="s">
        <v>733</v>
      </c>
      <c r="AF267" s="8"/>
      <c r="AG267" s="55"/>
      <c r="AH267" s="55"/>
      <c r="AI267" s="55"/>
      <c r="AJ267" s="55"/>
      <c r="AK267" s="55"/>
      <c r="AL267" s="8"/>
    </row>
    <row r="268" spans="1:41" x14ac:dyDescent="0.2">
      <c r="AE268" s="8"/>
      <c r="AF268" s="8"/>
      <c r="AG268" s="55"/>
      <c r="AH268" s="55"/>
      <c r="AI268" s="55"/>
      <c r="AJ268" s="55"/>
      <c r="AK268" s="55"/>
      <c r="AL268" s="8"/>
    </row>
    <row r="269" spans="1:41" ht="12" customHeight="1" x14ac:dyDescent="0.2">
      <c r="A269" s="6" t="s">
        <v>179</v>
      </c>
      <c r="C269" s="6" t="s">
        <v>241</v>
      </c>
      <c r="E269" s="54">
        <v>419472.32</v>
      </c>
      <c r="G269" s="18">
        <v>201572.8</v>
      </c>
      <c r="H269" s="18"/>
      <c r="I269" s="18">
        <v>330</v>
      </c>
      <c r="J269" s="18"/>
      <c r="K269" s="18">
        <v>3802.26</v>
      </c>
      <c r="L269" s="18"/>
      <c r="M269" s="18">
        <v>1037.0899999999999</v>
      </c>
      <c r="N269" s="18"/>
      <c r="O269" s="18">
        <v>90474.81</v>
      </c>
      <c r="P269" s="18"/>
      <c r="Q269" s="18">
        <v>243418.27</v>
      </c>
      <c r="R269" s="18"/>
      <c r="S269" s="18">
        <v>44593.4</v>
      </c>
      <c r="T269" s="18"/>
      <c r="U269" s="18">
        <v>16791</v>
      </c>
      <c r="V269" s="18"/>
      <c r="W269" s="18">
        <v>1790.34</v>
      </c>
      <c r="X269" s="18"/>
      <c r="Y269" s="18">
        <v>56210.86</v>
      </c>
      <c r="Z269" s="18"/>
      <c r="AA269" s="18">
        <v>69334.399999999994</v>
      </c>
      <c r="AB269" s="18"/>
      <c r="AC269" s="18">
        <v>0</v>
      </c>
      <c r="AD269" s="18"/>
      <c r="AE269" s="18">
        <f t="shared" si="9"/>
        <v>1148827.55</v>
      </c>
      <c r="AF269" s="18"/>
      <c r="AG269" s="64">
        <v>76410.28</v>
      </c>
      <c r="AH269" s="64"/>
      <c r="AI269" s="64">
        <v>1402549.51</v>
      </c>
      <c r="AJ269" s="64"/>
      <c r="AK269" s="64">
        <v>1478959.79</v>
      </c>
      <c r="AL269" s="8">
        <f>+'Gov Rev'!AI266-'Gov Exp'!AE269+'Gov Exp'!AI269-'Gov Exp'!AK269</f>
        <v>0</v>
      </c>
      <c r="AM269" s="6" t="str">
        <f>'Gov Rev'!A266</f>
        <v>Hiram</v>
      </c>
      <c r="AN269" s="6" t="str">
        <f t="shared" si="10"/>
        <v>Hiram</v>
      </c>
      <c r="AO269" s="6" t="b">
        <f t="shared" si="11"/>
        <v>1</v>
      </c>
    </row>
    <row r="270" spans="1:41" x14ac:dyDescent="0.2">
      <c r="A270" s="6" t="s">
        <v>378</v>
      </c>
      <c r="C270" s="6" t="s">
        <v>377</v>
      </c>
      <c r="E270" s="8">
        <v>55757</v>
      </c>
      <c r="G270" s="8">
        <v>0</v>
      </c>
      <c r="I270" s="8">
        <v>20307</v>
      </c>
      <c r="K270" s="8">
        <v>4368</v>
      </c>
      <c r="M270" s="8">
        <v>0</v>
      </c>
      <c r="O270" s="8">
        <v>18662</v>
      </c>
      <c r="Q270" s="8">
        <v>146041</v>
      </c>
      <c r="S270" s="8">
        <v>36822</v>
      </c>
      <c r="U270" s="8">
        <v>3654</v>
      </c>
      <c r="W270" s="8">
        <v>0</v>
      </c>
      <c r="Y270" s="8">
        <v>0</v>
      </c>
      <c r="AA270" s="8">
        <v>0</v>
      </c>
      <c r="AC270" s="8">
        <v>6862</v>
      </c>
      <c r="AE270" s="8">
        <f t="shared" si="9"/>
        <v>292473</v>
      </c>
      <c r="AF270" s="8"/>
      <c r="AG270" s="55"/>
      <c r="AH270" s="55"/>
      <c r="AI270" s="55"/>
      <c r="AJ270" s="55"/>
      <c r="AK270" s="55"/>
      <c r="AL270" s="8">
        <f>+'Gov Rev'!AI267-'Gov Exp'!AE270+'Gov Exp'!AI270-'Gov Exp'!AK270</f>
        <v>115316</v>
      </c>
      <c r="AM270" s="6" t="str">
        <f>'Gov Rev'!A267</f>
        <v>Holgate</v>
      </c>
      <c r="AN270" s="6" t="str">
        <f t="shared" si="10"/>
        <v>Holgate</v>
      </c>
      <c r="AO270" s="6" t="b">
        <f t="shared" si="11"/>
        <v>1</v>
      </c>
    </row>
    <row r="271" spans="1:41" x14ac:dyDescent="0.2">
      <c r="A271" s="6" t="s">
        <v>249</v>
      </c>
      <c r="C271" s="6" t="s">
        <v>554</v>
      </c>
      <c r="E271" s="8">
        <v>0</v>
      </c>
      <c r="G271" s="8">
        <v>0</v>
      </c>
      <c r="I271" s="8">
        <v>0</v>
      </c>
      <c r="K271" s="8">
        <v>0</v>
      </c>
      <c r="M271" s="8">
        <v>128034.64</v>
      </c>
      <c r="O271" s="8">
        <v>0</v>
      </c>
      <c r="Q271" s="8">
        <v>134389.65</v>
      </c>
      <c r="S271" s="8">
        <v>25176.75</v>
      </c>
      <c r="U271" s="8">
        <v>96401.01</v>
      </c>
      <c r="W271" s="8">
        <v>30909.91</v>
      </c>
      <c r="Y271" s="8">
        <v>149947.57999999999</v>
      </c>
      <c r="AA271" s="8">
        <v>0</v>
      </c>
      <c r="AC271" s="8">
        <v>0</v>
      </c>
      <c r="AE271" s="8">
        <f t="shared" si="9"/>
        <v>564859.53999999992</v>
      </c>
      <c r="AF271" s="8"/>
      <c r="AG271" s="55">
        <v>77002.23</v>
      </c>
      <c r="AH271" s="55"/>
      <c r="AI271" s="55">
        <v>1423666.92</v>
      </c>
      <c r="AJ271" s="55"/>
      <c r="AK271" s="55">
        <v>1500669.15</v>
      </c>
      <c r="AL271" s="8">
        <f>+'Gov Rev'!AI268-'Gov Exp'!AE271+'Gov Exp'!AI271-'Gov Exp'!AK271</f>
        <v>0</v>
      </c>
      <c r="AM271" s="6" t="str">
        <f>'Gov Rev'!A268</f>
        <v>Holiday City</v>
      </c>
      <c r="AN271" s="6" t="str">
        <f t="shared" si="10"/>
        <v>Holiday City</v>
      </c>
      <c r="AO271" s="6" t="b">
        <f t="shared" si="11"/>
        <v>1</v>
      </c>
    </row>
    <row r="272" spans="1:41" x14ac:dyDescent="0.2">
      <c r="A272" s="6" t="s">
        <v>422</v>
      </c>
      <c r="C272" s="6" t="s">
        <v>423</v>
      </c>
      <c r="E272" s="8">
        <v>1073018</v>
      </c>
      <c r="G272" s="8">
        <v>11104</v>
      </c>
      <c r="I272" s="8">
        <v>79809</v>
      </c>
      <c r="K272" s="8">
        <v>78736</v>
      </c>
      <c r="M272" s="8">
        <v>56349</v>
      </c>
      <c r="O272" s="8">
        <v>398199</v>
      </c>
      <c r="Q272" s="8">
        <v>502590</v>
      </c>
      <c r="S272" s="8">
        <v>917591</v>
      </c>
      <c r="U272" s="8">
        <v>4409</v>
      </c>
      <c r="W272" s="8">
        <v>0</v>
      </c>
      <c r="Y272" s="8">
        <v>695304</v>
      </c>
      <c r="AA272" s="8">
        <v>0</v>
      </c>
      <c r="AC272" s="8">
        <v>0</v>
      </c>
      <c r="AE272" s="8">
        <f t="shared" si="9"/>
        <v>3817109</v>
      </c>
      <c r="AF272" s="8"/>
      <c r="AG272" s="55"/>
      <c r="AH272" s="55"/>
      <c r="AI272" s="55"/>
      <c r="AJ272" s="55"/>
      <c r="AK272" s="55"/>
      <c r="AL272" s="8">
        <f>+'Gov Rev'!AI269-'Gov Exp'!AE272+'Gov Exp'!AI272-'Gov Exp'!AK272</f>
        <v>846834</v>
      </c>
      <c r="AM272" s="6" t="str">
        <f>'Gov Rev'!A269</f>
        <v>Holland</v>
      </c>
      <c r="AN272" s="6" t="str">
        <f t="shared" si="10"/>
        <v>Holland</v>
      </c>
      <c r="AO272" s="6" t="b">
        <f t="shared" si="11"/>
        <v>1</v>
      </c>
    </row>
    <row r="273" spans="1:41" x14ac:dyDescent="0.2">
      <c r="A273" s="6" t="s">
        <v>309</v>
      </c>
      <c r="C273" s="6" t="s">
        <v>306</v>
      </c>
      <c r="E273" s="8">
        <f>25917+1440</f>
        <v>27357</v>
      </c>
      <c r="G273" s="8">
        <v>485</v>
      </c>
      <c r="I273" s="8">
        <v>3771</v>
      </c>
      <c r="K273" s="8">
        <v>0</v>
      </c>
      <c r="M273" s="8">
        <v>2183</v>
      </c>
      <c r="O273" s="8">
        <v>18759</v>
      </c>
      <c r="Q273" s="8">
        <v>17171</v>
      </c>
      <c r="S273" s="8">
        <v>0</v>
      </c>
      <c r="U273" s="8">
        <v>0</v>
      </c>
      <c r="W273" s="8">
        <v>0</v>
      </c>
      <c r="Y273" s="8">
        <v>0</v>
      </c>
      <c r="AA273" s="8">
        <v>0</v>
      </c>
      <c r="AC273" s="8">
        <v>0</v>
      </c>
      <c r="AE273" s="8">
        <f t="shared" si="9"/>
        <v>69726</v>
      </c>
      <c r="AF273" s="8"/>
      <c r="AG273" s="55"/>
      <c r="AH273" s="55"/>
      <c r="AI273" s="55"/>
      <c r="AJ273" s="55"/>
      <c r="AK273" s="55"/>
      <c r="AL273" s="8">
        <f>+'Gov Rev'!AI270-'Gov Exp'!AE273+'Gov Exp'!AI273-'Gov Exp'!AK273</f>
        <v>-227</v>
      </c>
      <c r="AM273" s="6" t="str">
        <f>'Gov Rev'!A270</f>
        <v>Hollansburg</v>
      </c>
      <c r="AN273" s="6" t="str">
        <f t="shared" si="10"/>
        <v>Hollansburg</v>
      </c>
      <c r="AO273" s="6" t="b">
        <f t="shared" si="11"/>
        <v>1</v>
      </c>
    </row>
    <row r="274" spans="1:41" x14ac:dyDescent="0.2">
      <c r="A274" s="6" t="s">
        <v>17</v>
      </c>
      <c r="C274" s="6" t="s">
        <v>261</v>
      </c>
      <c r="E274" s="8">
        <v>23880.71</v>
      </c>
      <c r="G274" s="8">
        <v>0</v>
      </c>
      <c r="I274" s="8">
        <v>0</v>
      </c>
      <c r="K274" s="8">
        <v>0</v>
      </c>
      <c r="M274" s="8">
        <v>4934.87</v>
      </c>
      <c r="O274" s="8">
        <v>22427.119999999999</v>
      </c>
      <c r="Q274" s="8">
        <v>26106.080000000002</v>
      </c>
      <c r="S274" s="8">
        <v>0</v>
      </c>
      <c r="U274" s="8">
        <v>0</v>
      </c>
      <c r="W274" s="8">
        <v>0</v>
      </c>
      <c r="Y274" s="8">
        <v>0</v>
      </c>
      <c r="AA274" s="8">
        <v>2800</v>
      </c>
      <c r="AC274" s="8">
        <v>11131.74</v>
      </c>
      <c r="AE274" s="8">
        <f t="shared" si="9"/>
        <v>91280.52</v>
      </c>
      <c r="AF274" s="8"/>
      <c r="AG274" s="55">
        <v>-3288.46</v>
      </c>
      <c r="AH274" s="55"/>
      <c r="AI274" s="55">
        <v>70977.87</v>
      </c>
      <c r="AJ274" s="55"/>
      <c r="AK274" s="55">
        <v>67689.41</v>
      </c>
      <c r="AL274" s="8">
        <f>+'Gov Rev'!AI271-'Gov Exp'!AE274+'Gov Exp'!AI274-'Gov Exp'!AK274</f>
        <v>0</v>
      </c>
      <c r="AM274" s="6" t="str">
        <f>'Gov Rev'!A271</f>
        <v>Holloway</v>
      </c>
      <c r="AN274" s="6" t="str">
        <f t="shared" si="10"/>
        <v>Holloway</v>
      </c>
      <c r="AO274" s="6" t="b">
        <f t="shared" si="11"/>
        <v>1</v>
      </c>
    </row>
    <row r="275" spans="1:41" x14ac:dyDescent="0.2">
      <c r="A275" s="6" t="s">
        <v>383</v>
      </c>
      <c r="C275" s="6" t="s">
        <v>382</v>
      </c>
      <c r="E275" s="8">
        <v>12941.5</v>
      </c>
      <c r="G275" s="8">
        <v>0</v>
      </c>
      <c r="I275" s="8">
        <v>0</v>
      </c>
      <c r="K275" s="8">
        <v>61.38</v>
      </c>
      <c r="M275" s="8">
        <v>0</v>
      </c>
      <c r="O275" s="8">
        <v>45404.83</v>
      </c>
      <c r="Q275" s="8">
        <v>30049.3</v>
      </c>
      <c r="S275" s="8">
        <v>0</v>
      </c>
      <c r="U275" s="8">
        <v>0</v>
      </c>
      <c r="W275" s="8">
        <v>0</v>
      </c>
      <c r="Y275" s="8">
        <v>3388.4</v>
      </c>
      <c r="AA275" s="8">
        <v>0</v>
      </c>
      <c r="AC275" s="8">
        <v>0</v>
      </c>
      <c r="AE275" s="8">
        <f t="shared" si="9"/>
        <v>91845.409999999989</v>
      </c>
      <c r="AF275" s="8"/>
      <c r="AG275" s="55">
        <v>-24000.11</v>
      </c>
      <c r="AH275" s="55"/>
      <c r="AI275" s="55">
        <v>74153.570000000007</v>
      </c>
      <c r="AJ275" s="55"/>
      <c r="AK275" s="55">
        <v>50153.46</v>
      </c>
      <c r="AL275" s="8">
        <f>+'Gov Rev'!AI272-'Gov Exp'!AE275+'Gov Exp'!AI275-'Gov Exp'!AK275</f>
        <v>0</v>
      </c>
      <c r="AM275" s="6" t="str">
        <f>'Gov Rev'!A272</f>
        <v>Holmesville</v>
      </c>
      <c r="AN275" s="6" t="str">
        <f t="shared" si="10"/>
        <v>Holmesville</v>
      </c>
      <c r="AO275" s="6" t="b">
        <f t="shared" si="11"/>
        <v>1</v>
      </c>
    </row>
    <row r="276" spans="1:41" x14ac:dyDescent="0.2">
      <c r="A276" s="6" t="s">
        <v>96</v>
      </c>
      <c r="C276" s="6" t="s">
        <v>373</v>
      </c>
      <c r="E276" s="8">
        <v>22297.73</v>
      </c>
      <c r="G276" s="8">
        <v>8477.6200000000008</v>
      </c>
      <c r="I276" s="8">
        <v>0</v>
      </c>
      <c r="K276" s="8">
        <v>0</v>
      </c>
      <c r="M276" s="8">
        <v>20112.14</v>
      </c>
      <c r="O276" s="8">
        <v>69275.62</v>
      </c>
      <c r="Q276" s="8">
        <v>135539.46</v>
      </c>
      <c r="S276" s="8">
        <v>1188.1099999999999</v>
      </c>
      <c r="U276" s="8">
        <v>55965.95</v>
      </c>
      <c r="W276" s="8">
        <v>0</v>
      </c>
      <c r="Y276" s="8">
        <v>10000</v>
      </c>
      <c r="AA276" s="8">
        <v>0</v>
      </c>
      <c r="AC276" s="8">
        <v>7812.59</v>
      </c>
      <c r="AE276" s="8">
        <f t="shared" si="9"/>
        <v>330669.21999999997</v>
      </c>
      <c r="AF276" s="8"/>
      <c r="AG276" s="55">
        <v>-37846.550000000003</v>
      </c>
      <c r="AH276" s="55"/>
      <c r="AI276" s="55">
        <v>242503.16</v>
      </c>
      <c r="AJ276" s="55"/>
      <c r="AK276" s="55">
        <v>204656.61</v>
      </c>
      <c r="AL276" s="8">
        <f>+'Gov Rev'!AI273-'Gov Exp'!AE276+'Gov Exp'!AI276-'Gov Exp'!AK276</f>
        <v>0</v>
      </c>
      <c r="AM276" s="6" t="str">
        <f>'Gov Rev'!A273</f>
        <v>Hopedale</v>
      </c>
      <c r="AN276" s="6" t="str">
        <f t="shared" si="10"/>
        <v>Hopedale</v>
      </c>
      <c r="AO276" s="6" t="b">
        <f t="shared" si="11"/>
        <v>1</v>
      </c>
    </row>
    <row r="277" spans="1:41" x14ac:dyDescent="0.2">
      <c r="A277" s="6" t="s">
        <v>239</v>
      </c>
      <c r="C277" s="6" t="s">
        <v>558</v>
      </c>
      <c r="E277" s="8">
        <v>2500</v>
      </c>
      <c r="G277" s="8">
        <v>0</v>
      </c>
      <c r="I277" s="8">
        <v>18112.86</v>
      </c>
      <c r="K277" s="8">
        <v>4008.4</v>
      </c>
      <c r="M277" s="8">
        <v>0</v>
      </c>
      <c r="O277" s="8">
        <v>0</v>
      </c>
      <c r="Q277" s="8">
        <v>55253.98</v>
      </c>
      <c r="S277" s="8">
        <v>12144.79</v>
      </c>
      <c r="U277" s="8">
        <v>0</v>
      </c>
      <c r="W277" s="8">
        <v>0</v>
      </c>
      <c r="Y277" s="8">
        <v>8000</v>
      </c>
      <c r="AA277" s="8">
        <v>0</v>
      </c>
      <c r="AC277" s="8">
        <v>0</v>
      </c>
      <c r="AE277" s="8">
        <f t="shared" ref="AE277:AE343" si="12">SUM(E277:AC277)</f>
        <v>100020.03</v>
      </c>
      <c r="AF277" s="8"/>
      <c r="AG277" s="55">
        <v>-37262.14</v>
      </c>
      <c r="AH277" s="55"/>
      <c r="AI277" s="55">
        <v>87524.68</v>
      </c>
      <c r="AJ277" s="55"/>
      <c r="AK277" s="55">
        <v>50262.54</v>
      </c>
      <c r="AL277" s="8">
        <f>+'Gov Rev'!AI277-'Gov Exp'!AE277+'Gov Exp'!AI277-'Gov Exp'!AK277</f>
        <v>0</v>
      </c>
      <c r="AM277" s="6" t="str">
        <f>'Gov Rev'!A277</f>
        <v>Hoytville</v>
      </c>
      <c r="AN277" s="6" t="str">
        <f t="shared" ref="AN277:AN343" si="13">A277</f>
        <v>Hoytville</v>
      </c>
      <c r="AO277" s="6" t="b">
        <f t="shared" ref="AO277:AO343" si="14">AM277=AN277</f>
        <v>1</v>
      </c>
    </row>
    <row r="278" spans="1:41" x14ac:dyDescent="0.2">
      <c r="A278" s="6" t="s">
        <v>298</v>
      </c>
      <c r="C278" s="6" t="s">
        <v>293</v>
      </c>
      <c r="E278" s="8">
        <v>1760424</v>
      </c>
      <c r="G278" s="8">
        <v>292</v>
      </c>
      <c r="I278" s="8">
        <v>0</v>
      </c>
      <c r="K278" s="8">
        <v>211866</v>
      </c>
      <c r="M278" s="8">
        <v>118900</v>
      </c>
      <c r="O278" s="8">
        <v>666759</v>
      </c>
      <c r="Q278" s="8">
        <v>609957</v>
      </c>
      <c r="S278" s="8">
        <v>1016481</v>
      </c>
      <c r="U278" s="8">
        <v>5250000</v>
      </c>
      <c r="W278" s="8">
        <v>52354</v>
      </c>
      <c r="Y278" s="8">
        <v>3596123</v>
      </c>
      <c r="AA278" s="8">
        <v>0</v>
      </c>
      <c r="AC278" s="8">
        <v>27294</v>
      </c>
      <c r="AE278" s="8">
        <f t="shared" si="12"/>
        <v>13310450</v>
      </c>
      <c r="AF278" s="8"/>
      <c r="AG278" s="55"/>
      <c r="AH278" s="55"/>
      <c r="AI278" s="55"/>
      <c r="AJ278" s="55"/>
      <c r="AK278" s="55"/>
      <c r="AL278" s="8">
        <f>+'Gov Rev'!AI278-'Gov Exp'!AE278+'Gov Exp'!AI278-'Gov Exp'!AK278</f>
        <v>-6386631</v>
      </c>
      <c r="AM278" s="6" t="str">
        <f>'Gov Rev'!A278</f>
        <v>Hunting Valley</v>
      </c>
      <c r="AN278" s="6" t="str">
        <f t="shared" si="13"/>
        <v>Hunting Valley</v>
      </c>
      <c r="AO278" s="6" t="b">
        <f t="shared" si="14"/>
        <v>1</v>
      </c>
    </row>
    <row r="279" spans="1:41" x14ac:dyDescent="0.2">
      <c r="A279" s="6" t="s">
        <v>124</v>
      </c>
      <c r="C279" s="6" t="s">
        <v>414</v>
      </c>
      <c r="E279" s="8">
        <v>108337.94</v>
      </c>
      <c r="G279" s="8">
        <v>0</v>
      </c>
      <c r="I279" s="8">
        <v>13152.7</v>
      </c>
      <c r="K279" s="8">
        <v>1876.95</v>
      </c>
      <c r="M279" s="8">
        <v>2079.27</v>
      </c>
      <c r="O279" s="8">
        <v>26064.65</v>
      </c>
      <c r="Q279" s="8">
        <v>52010.58</v>
      </c>
      <c r="S279" s="8">
        <v>17301.45</v>
      </c>
      <c r="U279" s="8">
        <v>0</v>
      </c>
      <c r="W279" s="8">
        <v>0</v>
      </c>
      <c r="Y279" s="8">
        <v>0</v>
      </c>
      <c r="AA279" s="8">
        <v>0</v>
      </c>
      <c r="AC279" s="8">
        <v>1010.99</v>
      </c>
      <c r="AE279" s="8">
        <f t="shared" si="12"/>
        <v>221834.53000000003</v>
      </c>
      <c r="AF279" s="8"/>
      <c r="AG279" s="55">
        <v>-21352.13</v>
      </c>
      <c r="AH279" s="55"/>
      <c r="AI279" s="55">
        <v>457441.06</v>
      </c>
      <c r="AJ279" s="55"/>
      <c r="AK279" s="55">
        <v>436088.93</v>
      </c>
      <c r="AL279" s="8">
        <f>+'Gov Rev'!AI279-'Gov Exp'!AE279+'Gov Exp'!AI279-'Gov Exp'!AK279</f>
        <v>0</v>
      </c>
      <c r="AM279" s="6" t="str">
        <f>'Gov Rev'!A279</f>
        <v>Huntsville</v>
      </c>
      <c r="AN279" s="6" t="str">
        <f t="shared" si="13"/>
        <v>Huntsville</v>
      </c>
      <c r="AO279" s="6" t="b">
        <f t="shared" si="14"/>
        <v>1</v>
      </c>
    </row>
    <row r="280" spans="1:41" x14ac:dyDescent="0.2">
      <c r="A280" s="6" t="s">
        <v>112</v>
      </c>
      <c r="C280" s="6" t="s">
        <v>390</v>
      </c>
      <c r="E280" s="8">
        <v>142309.73000000001</v>
      </c>
      <c r="G280" s="8">
        <v>0</v>
      </c>
      <c r="I280" s="8">
        <v>4016</v>
      </c>
      <c r="K280" s="8">
        <v>0</v>
      </c>
      <c r="M280" s="8">
        <v>0</v>
      </c>
      <c r="O280" s="8">
        <v>46025.61</v>
      </c>
      <c r="Q280" s="8">
        <v>36690.699999999997</v>
      </c>
      <c r="S280" s="8">
        <v>34300</v>
      </c>
      <c r="U280" s="8">
        <v>20165.11</v>
      </c>
      <c r="W280" s="8">
        <v>8170.03</v>
      </c>
      <c r="Y280" s="8">
        <v>0</v>
      </c>
      <c r="AA280" s="8">
        <v>0</v>
      </c>
      <c r="AC280" s="8">
        <v>0</v>
      </c>
      <c r="AE280" s="8">
        <f t="shared" si="12"/>
        <v>291677.18000000005</v>
      </c>
      <c r="AF280" s="8"/>
      <c r="AG280" s="55">
        <v>-33644.39</v>
      </c>
      <c r="AH280" s="55"/>
      <c r="AI280" s="55">
        <v>163147.35</v>
      </c>
      <c r="AJ280" s="55"/>
      <c r="AK280" s="55">
        <v>129502.96</v>
      </c>
      <c r="AL280" s="8">
        <f>+'Gov Rev'!AI280-'Gov Exp'!AE280+'Gov Exp'!AI280-'Gov Exp'!AK280</f>
        <v>0</v>
      </c>
      <c r="AM280" s="6" t="str">
        <f>'Gov Rev'!A280</f>
        <v>Irondale</v>
      </c>
      <c r="AN280" s="6" t="str">
        <f t="shared" si="13"/>
        <v>Irondale</v>
      </c>
      <c r="AO280" s="6" t="b">
        <f t="shared" si="14"/>
        <v>1</v>
      </c>
    </row>
    <row r="281" spans="1:41" x14ac:dyDescent="0.2">
      <c r="A281" s="6" t="s">
        <v>637</v>
      </c>
      <c r="C281" s="6" t="s">
        <v>306</v>
      </c>
      <c r="E281" s="8">
        <v>7032</v>
      </c>
      <c r="G281" s="8">
        <v>0</v>
      </c>
      <c r="I281" s="8">
        <v>0</v>
      </c>
      <c r="K281" s="8">
        <v>0</v>
      </c>
      <c r="M281" s="8">
        <v>5304</v>
      </c>
      <c r="O281" s="8">
        <v>0</v>
      </c>
      <c r="Q281" s="8">
        <v>6630</v>
      </c>
      <c r="S281" s="8">
        <v>0</v>
      </c>
      <c r="U281" s="8">
        <v>0</v>
      </c>
      <c r="W281" s="8">
        <v>0</v>
      </c>
      <c r="Y281" s="8">
        <v>0</v>
      </c>
      <c r="AA281" s="8">
        <v>0</v>
      </c>
      <c r="AC281" s="8">
        <v>0</v>
      </c>
      <c r="AE281" s="8">
        <f t="shared" si="12"/>
        <v>18966</v>
      </c>
      <c r="AF281" s="8"/>
      <c r="AG281" s="55"/>
      <c r="AH281" s="55"/>
      <c r="AI281" s="55"/>
      <c r="AJ281" s="55"/>
      <c r="AK281" s="55"/>
      <c r="AL281" s="8">
        <f>+'Gov Rev'!AI281-'Gov Exp'!AE281+'Gov Exp'!AI281-'Gov Exp'!AK281</f>
        <v>-1963</v>
      </c>
      <c r="AM281" s="6" t="str">
        <f>'Gov Rev'!A281</f>
        <v>Ithaca</v>
      </c>
      <c r="AN281" s="6" t="str">
        <f t="shared" si="13"/>
        <v>Ithaca</v>
      </c>
      <c r="AO281" s="6" t="b">
        <f t="shared" si="14"/>
        <v>1</v>
      </c>
    </row>
    <row r="282" spans="1:41" x14ac:dyDescent="0.2">
      <c r="A282" s="6" t="s">
        <v>208</v>
      </c>
      <c r="C282" s="6" t="s">
        <v>498</v>
      </c>
      <c r="E282" s="8">
        <v>164760.82999999999</v>
      </c>
      <c r="G282" s="8">
        <v>4727</v>
      </c>
      <c r="I282" s="8">
        <v>5816.74</v>
      </c>
      <c r="K282" s="8">
        <v>15866.08</v>
      </c>
      <c r="M282" s="8">
        <v>0</v>
      </c>
      <c r="O282" s="8">
        <v>65366.09</v>
      </c>
      <c r="Q282" s="8">
        <v>87044.74</v>
      </c>
      <c r="S282" s="8">
        <v>467663.87</v>
      </c>
      <c r="U282" s="8">
        <v>79583.53</v>
      </c>
      <c r="W282" s="8">
        <v>16223.63</v>
      </c>
      <c r="Y282" s="8">
        <v>763597.12</v>
      </c>
      <c r="AA282" s="8">
        <v>0</v>
      </c>
      <c r="AC282" s="8">
        <v>0</v>
      </c>
      <c r="AE282" s="8">
        <f t="shared" si="12"/>
        <v>1670649.63</v>
      </c>
      <c r="AF282" s="8"/>
      <c r="AG282" s="55">
        <v>300057.65999999997</v>
      </c>
      <c r="AH282" s="55"/>
      <c r="AI282" s="55">
        <v>1366333.04</v>
      </c>
      <c r="AJ282" s="55"/>
      <c r="AK282" s="55">
        <v>1666390.7</v>
      </c>
      <c r="AL282" s="8">
        <f>+'Gov Rev'!AI282-'Gov Exp'!AE282+'Gov Exp'!AI282-'Gov Exp'!AK282</f>
        <v>0</v>
      </c>
      <c r="AM282" s="6" t="str">
        <f>'Gov Rev'!A282</f>
        <v>Jackson Center</v>
      </c>
      <c r="AN282" s="6" t="str">
        <f t="shared" si="13"/>
        <v>Jackson Center</v>
      </c>
      <c r="AO282" s="6" t="b">
        <f t="shared" si="14"/>
        <v>1</v>
      </c>
    </row>
    <row r="283" spans="1:41" x14ac:dyDescent="0.2">
      <c r="A283" s="6" t="s">
        <v>830</v>
      </c>
      <c r="C283" s="6" t="s">
        <v>253</v>
      </c>
      <c r="E283" s="8">
        <v>0</v>
      </c>
      <c r="G283" s="8">
        <v>0</v>
      </c>
      <c r="I283" s="8">
        <v>0</v>
      </c>
      <c r="K283" s="8">
        <v>0</v>
      </c>
      <c r="M283" s="8">
        <v>0</v>
      </c>
      <c r="O283" s="8">
        <v>0</v>
      </c>
      <c r="Q283" s="8">
        <v>76453.56</v>
      </c>
      <c r="S283" s="8">
        <v>0</v>
      </c>
      <c r="U283" s="8">
        <v>0</v>
      </c>
      <c r="W283" s="8">
        <v>0</v>
      </c>
      <c r="Y283" s="8">
        <v>0</v>
      </c>
      <c r="AA283" s="8">
        <v>0</v>
      </c>
      <c r="AC283" s="8">
        <v>0</v>
      </c>
      <c r="AE283" s="8">
        <f t="shared" si="12"/>
        <v>76453.56</v>
      </c>
      <c r="AF283" s="8"/>
      <c r="AG283" s="55">
        <v>33678.93</v>
      </c>
      <c r="AH283" s="55"/>
      <c r="AI283" s="55">
        <v>-78068</v>
      </c>
      <c r="AJ283" s="55"/>
      <c r="AK283" s="55">
        <v>-44389.07</v>
      </c>
      <c r="AL283" s="8">
        <f>+'Gov Rev'!AI283-'Gov Exp'!AE283+'Gov Exp'!AI283-'Gov Exp'!AK283</f>
        <v>0</v>
      </c>
      <c r="AM283" s="6" t="str">
        <f>'Gov Rev'!A283</f>
        <v>Jacksonville</v>
      </c>
      <c r="AN283" s="6" t="str">
        <f t="shared" si="13"/>
        <v>Jacksonville</v>
      </c>
      <c r="AO283" s="6" t="b">
        <f t="shared" si="14"/>
        <v>1</v>
      </c>
    </row>
    <row r="284" spans="1:41" x14ac:dyDescent="0.2">
      <c r="A284" s="6" t="s">
        <v>79</v>
      </c>
      <c r="C284" s="6" t="s">
        <v>345</v>
      </c>
      <c r="E284" s="8">
        <v>464550.19</v>
      </c>
      <c r="G284" s="8">
        <v>3075.93</v>
      </c>
      <c r="I284" s="8">
        <v>3991.43</v>
      </c>
      <c r="K284" s="8">
        <v>3290.35</v>
      </c>
      <c r="M284" s="8">
        <v>254320.69</v>
      </c>
      <c r="O284" s="8">
        <v>111659.28</v>
      </c>
      <c r="Q284" s="8">
        <v>200777.19</v>
      </c>
      <c r="S284" s="8">
        <v>40000</v>
      </c>
      <c r="U284" s="8">
        <v>0</v>
      </c>
      <c r="W284" s="8">
        <v>0</v>
      </c>
      <c r="Y284" s="8">
        <v>88000</v>
      </c>
      <c r="AA284" s="8">
        <v>0</v>
      </c>
      <c r="AC284" s="8">
        <v>0</v>
      </c>
      <c r="AE284" s="8">
        <f t="shared" si="12"/>
        <v>1169665.06</v>
      </c>
      <c r="AF284" s="8"/>
      <c r="AG284" s="55">
        <v>-33442.300000000003</v>
      </c>
      <c r="AH284" s="55"/>
      <c r="AI284" s="55">
        <v>630319.74</v>
      </c>
      <c r="AJ284" s="55"/>
      <c r="AK284" s="55">
        <v>596877.43999999994</v>
      </c>
      <c r="AL284" s="8">
        <f>+'Gov Rev'!AI284-'Gov Exp'!AE284+'Gov Exp'!AI284-'Gov Exp'!AK284</f>
        <v>0</v>
      </c>
      <c r="AM284" s="6" t="str">
        <f>'Gov Rev'!A284</f>
        <v>Jamestown</v>
      </c>
      <c r="AN284" s="6" t="str">
        <f t="shared" si="13"/>
        <v>Jamestown</v>
      </c>
      <c r="AO284" s="6" t="b">
        <f t="shared" si="14"/>
        <v>1</v>
      </c>
    </row>
    <row r="285" spans="1:41" x14ac:dyDescent="0.2">
      <c r="A285" s="8" t="s">
        <v>638</v>
      </c>
      <c r="B285" s="8"/>
      <c r="C285" s="8" t="s">
        <v>624</v>
      </c>
      <c r="D285" s="8"/>
      <c r="E285" s="8">
        <v>972659</v>
      </c>
      <c r="G285" s="8">
        <v>0</v>
      </c>
      <c r="I285" s="8">
        <v>312192</v>
      </c>
      <c r="K285" s="8">
        <v>0</v>
      </c>
      <c r="M285" s="8">
        <v>70540</v>
      </c>
      <c r="O285" s="8">
        <v>1170611</v>
      </c>
      <c r="Q285" s="8">
        <v>514539</v>
      </c>
      <c r="S285" s="8">
        <v>0</v>
      </c>
      <c r="U285" s="8">
        <v>5000</v>
      </c>
      <c r="W285" s="8">
        <v>0</v>
      </c>
      <c r="Y285" s="8">
        <v>0</v>
      </c>
      <c r="AA285" s="8">
        <v>0</v>
      </c>
      <c r="AC285" s="8">
        <v>57887</v>
      </c>
      <c r="AE285" s="8">
        <f t="shared" si="12"/>
        <v>3103428</v>
      </c>
      <c r="AF285" s="8"/>
      <c r="AG285" s="55"/>
      <c r="AH285" s="55"/>
      <c r="AI285" s="55"/>
      <c r="AJ285" s="55"/>
      <c r="AK285" s="55"/>
      <c r="AL285" s="8">
        <f>+'Gov Rev'!AI285-'Gov Exp'!AE285+'Gov Exp'!AI285-'Gov Exp'!AK285</f>
        <v>-60329</v>
      </c>
      <c r="AM285" s="6" t="str">
        <f>'Gov Rev'!A285</f>
        <v xml:space="preserve">Jefferson  </v>
      </c>
      <c r="AN285" s="6" t="str">
        <f t="shared" si="13"/>
        <v xml:space="preserve">Jefferson  </v>
      </c>
      <c r="AO285" s="6" t="b">
        <f t="shared" si="14"/>
        <v>1</v>
      </c>
    </row>
    <row r="286" spans="1:41" x14ac:dyDescent="0.2">
      <c r="A286" s="6" t="s">
        <v>64</v>
      </c>
      <c r="C286" s="6" t="s">
        <v>334</v>
      </c>
      <c r="E286" s="8">
        <v>51030.04</v>
      </c>
      <c r="G286" s="8">
        <v>1026.3599999999999</v>
      </c>
      <c r="I286" s="8">
        <v>37508.69</v>
      </c>
      <c r="K286" s="8">
        <v>1553.02</v>
      </c>
      <c r="M286" s="8">
        <v>7840.48</v>
      </c>
      <c r="O286" s="8">
        <v>37206.21</v>
      </c>
      <c r="Q286" s="8">
        <v>356882.65</v>
      </c>
      <c r="S286" s="8">
        <v>966.75</v>
      </c>
      <c r="U286" s="8">
        <v>6300</v>
      </c>
      <c r="W286" s="8">
        <v>0</v>
      </c>
      <c r="Y286" s="8">
        <v>0</v>
      </c>
      <c r="AA286" s="8">
        <v>0</v>
      </c>
      <c r="AC286" s="8">
        <v>160.52000000000001</v>
      </c>
      <c r="AE286" s="8">
        <f t="shared" si="12"/>
        <v>500474.72000000003</v>
      </c>
      <c r="AF286" s="8"/>
      <c r="AG286" s="55">
        <v>25179.279999999999</v>
      </c>
      <c r="AH286" s="55"/>
      <c r="AI286" s="55">
        <v>129791.8</v>
      </c>
      <c r="AJ286" s="55"/>
      <c r="AK286" s="55">
        <v>154971.07999999999</v>
      </c>
      <c r="AL286" s="8">
        <f>+'Gov Rev'!AI286-'Gov Exp'!AE286+'Gov Exp'!AI286-'Gov Exp'!AK286</f>
        <v>0</v>
      </c>
      <c r="AM286" s="6" t="str">
        <f>'Gov Rev'!A286</f>
        <v>Jeffersonville</v>
      </c>
      <c r="AN286" s="6" t="str">
        <f t="shared" si="13"/>
        <v>Jeffersonville</v>
      </c>
      <c r="AO286" s="6" t="b">
        <f t="shared" si="14"/>
        <v>1</v>
      </c>
    </row>
    <row r="287" spans="1:41" x14ac:dyDescent="0.2">
      <c r="A287" s="6" t="s">
        <v>639</v>
      </c>
      <c r="C287" s="6" t="s">
        <v>360</v>
      </c>
      <c r="E287" s="8">
        <v>34676</v>
      </c>
      <c r="G287" s="8">
        <v>0</v>
      </c>
      <c r="I287" s="8">
        <v>14733</v>
      </c>
      <c r="K287" s="8">
        <v>4166</v>
      </c>
      <c r="M287" s="8">
        <v>16203</v>
      </c>
      <c r="O287" s="8">
        <v>1087</v>
      </c>
      <c r="Q287" s="8">
        <v>30696</v>
      </c>
      <c r="S287" s="8">
        <v>9775</v>
      </c>
      <c r="U287" s="8">
        <v>7493</v>
      </c>
      <c r="W287" s="8">
        <v>2095</v>
      </c>
      <c r="Y287" s="8">
        <v>0</v>
      </c>
      <c r="AA287" s="8">
        <v>0</v>
      </c>
      <c r="AC287" s="8">
        <v>0</v>
      </c>
      <c r="AE287" s="8">
        <f t="shared" si="12"/>
        <v>120924</v>
      </c>
      <c r="AF287" s="8"/>
      <c r="AG287" s="55"/>
      <c r="AH287" s="55"/>
      <c r="AI287" s="55"/>
      <c r="AJ287" s="55"/>
      <c r="AK287" s="55"/>
      <c r="AL287" s="8">
        <f>+'Gov Rev'!AI287-'Gov Exp'!AE287+'Gov Exp'!AI287-'Gov Exp'!AK287</f>
        <v>14467</v>
      </c>
      <c r="AM287" s="6" t="str">
        <f>'Gov Rev'!A287</f>
        <v>Jenera</v>
      </c>
      <c r="AN287" s="6" t="str">
        <f t="shared" si="13"/>
        <v>Jenera</v>
      </c>
      <c r="AO287" s="6" t="b">
        <f t="shared" si="14"/>
        <v>1</v>
      </c>
    </row>
    <row r="288" spans="1:41" ht="12.75" x14ac:dyDescent="0.2">
      <c r="A288" s="6" t="s">
        <v>640</v>
      </c>
      <c r="C288" s="6" t="s">
        <v>619</v>
      </c>
      <c r="D288" s="11"/>
      <c r="E288" s="8">
        <v>8091</v>
      </c>
      <c r="G288" s="8">
        <v>424</v>
      </c>
      <c r="I288" s="8">
        <v>8926</v>
      </c>
      <c r="K288" s="8">
        <v>0</v>
      </c>
      <c r="M288" s="8">
        <v>0</v>
      </c>
      <c r="O288" s="8">
        <v>22270</v>
      </c>
      <c r="Q288" s="8">
        <v>45005</v>
      </c>
      <c r="S288" s="8">
        <v>58989</v>
      </c>
      <c r="U288" s="8">
        <v>7751</v>
      </c>
      <c r="W288" s="8">
        <v>52495</v>
      </c>
      <c r="Y288" s="8">
        <v>0</v>
      </c>
      <c r="AA288" s="8">
        <v>0</v>
      </c>
      <c r="AC288" s="8">
        <v>664</v>
      </c>
      <c r="AE288" s="8">
        <f t="shared" si="12"/>
        <v>204615</v>
      </c>
      <c r="AF288" s="8"/>
      <c r="AG288" s="55"/>
      <c r="AH288" s="55"/>
      <c r="AI288" s="55"/>
      <c r="AJ288" s="55"/>
      <c r="AK288" s="55"/>
      <c r="AL288" s="8">
        <f>+'Gov Rev'!AI288-'Gov Exp'!AE288+'Gov Exp'!AI288-'Gov Exp'!AK288</f>
        <v>-19773</v>
      </c>
      <c r="AM288" s="6" t="str">
        <f>'Gov Rev'!A288</f>
        <v>Jeromesville</v>
      </c>
      <c r="AN288" s="6" t="str">
        <f t="shared" si="13"/>
        <v>Jeromesville</v>
      </c>
      <c r="AO288" s="6" t="b">
        <f t="shared" si="14"/>
        <v>1</v>
      </c>
    </row>
    <row r="289" spans="1:41" x14ac:dyDescent="0.2">
      <c r="A289" s="6" t="s">
        <v>641</v>
      </c>
      <c r="C289" s="6" t="s">
        <v>558</v>
      </c>
      <c r="E289" s="8">
        <v>11232.48</v>
      </c>
      <c r="G289" s="8">
        <v>0</v>
      </c>
      <c r="I289" s="8">
        <v>10210.86</v>
      </c>
      <c r="K289" s="8">
        <v>68.86</v>
      </c>
      <c r="M289" s="8">
        <v>0</v>
      </c>
      <c r="O289" s="8">
        <v>16314.12</v>
      </c>
      <c r="Q289" s="8">
        <v>31278.68</v>
      </c>
      <c r="S289" s="8">
        <v>32310.98</v>
      </c>
      <c r="U289" s="8">
        <v>0</v>
      </c>
      <c r="W289" s="8">
        <v>0</v>
      </c>
      <c r="Y289" s="8">
        <v>0</v>
      </c>
      <c r="AA289" s="8">
        <v>0</v>
      </c>
      <c r="AC289" s="8">
        <v>0</v>
      </c>
      <c r="AE289" s="8">
        <f t="shared" si="12"/>
        <v>101415.98</v>
      </c>
      <c r="AF289" s="8"/>
      <c r="AG289" s="55">
        <v>-4317.01</v>
      </c>
      <c r="AH289" s="55"/>
      <c r="AI289" s="55">
        <v>120336.36</v>
      </c>
      <c r="AJ289" s="55"/>
      <c r="AK289" s="55">
        <v>116019.35</v>
      </c>
      <c r="AL289" s="8">
        <f>+'Gov Rev'!AI289-'Gov Exp'!AE289+'Gov Exp'!AI289-'Gov Exp'!AK289</f>
        <v>0</v>
      </c>
      <c r="AM289" s="6" t="str">
        <f>'Gov Rev'!A289</f>
        <v>Jerry City</v>
      </c>
      <c r="AN289" s="6" t="str">
        <f t="shared" si="13"/>
        <v>Jerry City</v>
      </c>
      <c r="AO289" s="6" t="b">
        <f t="shared" si="14"/>
        <v>1</v>
      </c>
    </row>
    <row r="290" spans="1:41" x14ac:dyDescent="0.2">
      <c r="A290" s="6" t="s">
        <v>846</v>
      </c>
      <c r="C290" s="6" t="s">
        <v>441</v>
      </c>
      <c r="E290" s="8">
        <v>3067</v>
      </c>
      <c r="G290" s="8">
        <v>350</v>
      </c>
      <c r="I290" s="8">
        <v>0</v>
      </c>
      <c r="K290" s="8">
        <v>0</v>
      </c>
      <c r="M290" s="8">
        <f>1586+2329</f>
        <v>3915</v>
      </c>
      <c r="O290" s="8">
        <v>615</v>
      </c>
      <c r="Q290" s="8">
        <v>5549</v>
      </c>
      <c r="S290" s="8">
        <v>0</v>
      </c>
      <c r="U290" s="8">
        <v>0</v>
      </c>
      <c r="W290" s="8">
        <v>0</v>
      </c>
      <c r="Y290" s="8">
        <v>0</v>
      </c>
      <c r="AA290" s="8">
        <v>0</v>
      </c>
      <c r="AC290" s="8">
        <v>0</v>
      </c>
      <c r="AE290" s="8">
        <f t="shared" si="12"/>
        <v>13496</v>
      </c>
      <c r="AF290" s="8"/>
      <c r="AG290" s="55"/>
      <c r="AH290" s="55"/>
      <c r="AI290" s="55"/>
      <c r="AJ290" s="55"/>
      <c r="AK290" s="55"/>
      <c r="AL290" s="8">
        <f>+'Gov Rev'!AI290-'Gov Exp'!AE290+'Gov Exp'!AI290-'Gov Exp'!AK290</f>
        <v>15467</v>
      </c>
      <c r="AM290" s="6" t="str">
        <f>'Gov Rev'!A290</f>
        <v>Jerusalem</v>
      </c>
      <c r="AN290" s="6" t="str">
        <f t="shared" si="13"/>
        <v>Jerusalem</v>
      </c>
      <c r="AO290" s="6" t="b">
        <f t="shared" si="14"/>
        <v>1</v>
      </c>
    </row>
    <row r="291" spans="1:41" x14ac:dyDescent="0.2">
      <c r="A291" s="6" t="s">
        <v>97</v>
      </c>
      <c r="C291" s="6" t="s">
        <v>373</v>
      </c>
      <c r="E291" s="8">
        <v>43925.599999999999</v>
      </c>
      <c r="G291" s="8">
        <v>0</v>
      </c>
      <c r="I291" s="8">
        <v>10128.56</v>
      </c>
      <c r="K291" s="8">
        <v>0</v>
      </c>
      <c r="M291" s="8">
        <v>0</v>
      </c>
      <c r="O291" s="8">
        <v>56191.77</v>
      </c>
      <c r="Q291" s="8">
        <v>89874.15</v>
      </c>
      <c r="S291" s="8">
        <v>0</v>
      </c>
      <c r="U291" s="8">
        <v>19607.22</v>
      </c>
      <c r="W291" s="8">
        <v>561.38</v>
      </c>
      <c r="Y291" s="8">
        <v>0</v>
      </c>
      <c r="AA291" s="8">
        <v>0</v>
      </c>
      <c r="AC291" s="8">
        <v>14.52</v>
      </c>
      <c r="AE291" s="8">
        <f t="shared" si="12"/>
        <v>220303.19999999998</v>
      </c>
      <c r="AF291" s="8"/>
      <c r="AG291" s="55">
        <v>21311.63</v>
      </c>
      <c r="AH291" s="55"/>
      <c r="AI291" s="55">
        <v>123095.88</v>
      </c>
      <c r="AJ291" s="55"/>
      <c r="AK291" s="55">
        <v>144407.51</v>
      </c>
      <c r="AL291" s="8">
        <f>+'Gov Rev'!AI291-'Gov Exp'!AE291+'Gov Exp'!AI291-'Gov Exp'!AK291</f>
        <v>0</v>
      </c>
      <c r="AM291" s="6" t="str">
        <f>'Gov Rev'!A291</f>
        <v>Jewett</v>
      </c>
      <c r="AN291" s="6" t="str">
        <f t="shared" si="13"/>
        <v>Jewett</v>
      </c>
      <c r="AO291" s="6" t="b">
        <f t="shared" si="14"/>
        <v>1</v>
      </c>
    </row>
    <row r="292" spans="1:41" x14ac:dyDescent="0.2">
      <c r="A292" s="6" t="s">
        <v>642</v>
      </c>
      <c r="C292" s="6" t="s">
        <v>464</v>
      </c>
      <c r="E292" s="8">
        <v>64562</v>
      </c>
      <c r="G292" s="8">
        <v>0</v>
      </c>
      <c r="I292" s="8">
        <v>0</v>
      </c>
      <c r="K292" s="8">
        <v>0</v>
      </c>
      <c r="M292" s="8">
        <v>44404</v>
      </c>
      <c r="O292" s="8">
        <v>12611</v>
      </c>
      <c r="Q292" s="8">
        <v>78747</v>
      </c>
      <c r="S292" s="8">
        <v>138520</v>
      </c>
      <c r="U292" s="8">
        <v>2009</v>
      </c>
      <c r="W292" s="8">
        <v>2848</v>
      </c>
      <c r="Y292" s="8">
        <v>0</v>
      </c>
      <c r="AA292" s="8">
        <v>0</v>
      </c>
      <c r="AC292" s="8">
        <v>0</v>
      </c>
      <c r="AE292" s="8">
        <f t="shared" si="12"/>
        <v>343701</v>
      </c>
      <c r="AF292" s="8"/>
      <c r="AG292" s="55"/>
      <c r="AH292" s="55"/>
      <c r="AI292" s="55"/>
      <c r="AJ292" s="55"/>
      <c r="AK292" s="55"/>
      <c r="AL292" s="8">
        <f>+'Gov Rev'!AI292-'Gov Exp'!AE292+'Gov Exp'!AI292-'Gov Exp'!AK292</f>
        <v>-41506</v>
      </c>
      <c r="AM292" s="6" t="str">
        <f>'Gov Rev'!A292</f>
        <v>Junction City</v>
      </c>
      <c r="AN292" s="6" t="str">
        <f t="shared" si="13"/>
        <v>Junction City</v>
      </c>
      <c r="AO292" s="6" t="b">
        <f t="shared" si="14"/>
        <v>1</v>
      </c>
    </row>
    <row r="293" spans="1:41" x14ac:dyDescent="0.2">
      <c r="A293" s="6" t="s">
        <v>712</v>
      </c>
      <c r="C293" s="6" t="s">
        <v>476</v>
      </c>
      <c r="E293" s="8">
        <v>153158.49</v>
      </c>
      <c r="G293" s="8">
        <v>0</v>
      </c>
      <c r="I293" s="8">
        <v>76761.539999999994</v>
      </c>
      <c r="K293" s="8">
        <v>0</v>
      </c>
      <c r="M293" s="8">
        <v>681.89</v>
      </c>
      <c r="O293" s="8">
        <v>24834.02</v>
      </c>
      <c r="Q293" s="8">
        <v>262177.62</v>
      </c>
      <c r="S293" s="8">
        <v>1427621.63</v>
      </c>
      <c r="U293" s="8">
        <v>14062.81</v>
      </c>
      <c r="W293" s="8">
        <v>5486.33</v>
      </c>
      <c r="Y293" s="8">
        <v>700204.64</v>
      </c>
      <c r="AA293" s="8">
        <v>757492</v>
      </c>
      <c r="AC293" s="8">
        <v>0</v>
      </c>
      <c r="AE293" s="8">
        <f t="shared" si="12"/>
        <v>3422480.97</v>
      </c>
      <c r="AF293" s="8"/>
      <c r="AG293" s="55">
        <v>-193208.79</v>
      </c>
      <c r="AH293" s="55"/>
      <c r="AI293" s="55">
        <v>1546300.69</v>
      </c>
      <c r="AJ293" s="55"/>
      <c r="AK293" s="55">
        <v>1353091.9</v>
      </c>
      <c r="AL293" s="8">
        <f>+'Gov Rev'!AI293-'Gov Exp'!AE293+'Gov Exp'!AI293-'Gov Exp'!AK293</f>
        <v>0</v>
      </c>
      <c r="AM293" s="6" t="str">
        <f>'Gov Rev'!A293</f>
        <v>Kalida</v>
      </c>
      <c r="AN293" s="6" t="str">
        <f t="shared" si="13"/>
        <v>Kalida</v>
      </c>
      <c r="AO293" s="6" t="b">
        <f t="shared" si="14"/>
        <v>1</v>
      </c>
    </row>
    <row r="294" spans="1:41" x14ac:dyDescent="0.2">
      <c r="A294" s="6" t="s">
        <v>643</v>
      </c>
      <c r="C294" s="6" t="s">
        <v>325</v>
      </c>
      <c r="E294" s="8">
        <v>205561</v>
      </c>
      <c r="G294" s="8">
        <v>59588</v>
      </c>
      <c r="I294" s="8">
        <v>3056</v>
      </c>
      <c r="K294" s="8">
        <v>15603</v>
      </c>
      <c r="M294" s="8">
        <v>0</v>
      </c>
      <c r="O294" s="8">
        <v>139895</v>
      </c>
      <c r="Q294" s="8">
        <v>297866</v>
      </c>
      <c r="S294" s="8">
        <v>859872</v>
      </c>
      <c r="U294" s="8">
        <v>31770</v>
      </c>
      <c r="W294" s="8">
        <v>0</v>
      </c>
      <c r="Y294" s="8">
        <v>11</v>
      </c>
      <c r="AA294" s="8">
        <v>0</v>
      </c>
      <c r="AC294" s="8">
        <v>506</v>
      </c>
      <c r="AE294" s="8">
        <f t="shared" si="12"/>
        <v>1613728</v>
      </c>
      <c r="AF294" s="8"/>
      <c r="AG294" s="55"/>
      <c r="AH294" s="55"/>
      <c r="AI294" s="55"/>
      <c r="AJ294" s="55"/>
      <c r="AK294" s="55"/>
      <c r="AL294" s="8">
        <f>+'Gov Rev'!AI294-'Gov Exp'!AE294+'Gov Exp'!AI294-'Gov Exp'!AK294</f>
        <v>150573</v>
      </c>
      <c r="AM294" s="6" t="str">
        <f>'Gov Rev'!A294</f>
        <v>Kelley's Island</v>
      </c>
      <c r="AN294" s="6" t="str">
        <f t="shared" si="13"/>
        <v>Kelley's Island</v>
      </c>
      <c r="AO294" s="6" t="b">
        <f t="shared" si="14"/>
        <v>1</v>
      </c>
    </row>
    <row r="295" spans="1:41" x14ac:dyDescent="0.2">
      <c r="A295" s="6" t="s">
        <v>832</v>
      </c>
      <c r="C295" s="6" t="s">
        <v>498</v>
      </c>
      <c r="E295" s="8">
        <v>5016</v>
      </c>
      <c r="G295" s="8">
        <v>617</v>
      </c>
      <c r="I295" s="8">
        <v>0</v>
      </c>
      <c r="K295" s="8">
        <v>72</v>
      </c>
      <c r="M295" s="8">
        <v>0</v>
      </c>
      <c r="O295" s="8">
        <v>72140</v>
      </c>
      <c r="Q295" s="8">
        <v>20809</v>
      </c>
      <c r="S295" s="8">
        <v>0</v>
      </c>
      <c r="U295" s="8">
        <v>0</v>
      </c>
      <c r="W295" s="8">
        <v>0</v>
      </c>
      <c r="Y295" s="8">
        <v>0</v>
      </c>
      <c r="AA295" s="8">
        <v>0</v>
      </c>
      <c r="AC295" s="8">
        <v>0</v>
      </c>
      <c r="AE295" s="8">
        <f t="shared" si="12"/>
        <v>98654</v>
      </c>
      <c r="AF295" s="8"/>
      <c r="AG295" s="55"/>
      <c r="AH295" s="55"/>
      <c r="AI295" s="55"/>
      <c r="AJ295" s="55"/>
      <c r="AK295" s="55"/>
      <c r="AL295" s="8">
        <f>+'Gov Rev'!AI295-'Gov Exp'!AE295+'Gov Exp'!AI295-'Gov Exp'!AK295</f>
        <v>-45057</v>
      </c>
      <c r="AM295" s="6" t="str">
        <f>'Gov Rev'!A295</f>
        <v>Kettlersville</v>
      </c>
      <c r="AN295" s="6" t="str">
        <f t="shared" si="13"/>
        <v>Kettlersville</v>
      </c>
      <c r="AO295" s="6" t="b">
        <f t="shared" si="14"/>
        <v>1</v>
      </c>
    </row>
    <row r="296" spans="1:41" ht="12.75" x14ac:dyDescent="0.2">
      <c r="A296" s="6" t="s">
        <v>770</v>
      </c>
      <c r="C296" s="6" t="s">
        <v>382</v>
      </c>
      <c r="D296" s="11"/>
      <c r="E296" s="8">
        <v>23555</v>
      </c>
      <c r="G296" s="8">
        <v>1638</v>
      </c>
      <c r="I296" s="8">
        <v>28052</v>
      </c>
      <c r="K296" s="8">
        <v>0</v>
      </c>
      <c r="M296" s="8">
        <v>5461</v>
      </c>
      <c r="O296" s="8">
        <v>128362</v>
      </c>
      <c r="Q296" s="8">
        <v>67799</v>
      </c>
      <c r="S296" s="8">
        <v>0</v>
      </c>
      <c r="U296" s="8">
        <v>0</v>
      </c>
      <c r="W296" s="8">
        <v>0</v>
      </c>
      <c r="Y296" s="8">
        <v>0</v>
      </c>
      <c r="AA296" s="8">
        <v>0</v>
      </c>
      <c r="AC296" s="8">
        <v>0</v>
      </c>
      <c r="AE296" s="8">
        <f t="shared" si="12"/>
        <v>254867</v>
      </c>
      <c r="AF296" s="8"/>
      <c r="AG296" s="55"/>
      <c r="AH296" s="55"/>
      <c r="AI296" s="55"/>
      <c r="AJ296" s="55"/>
      <c r="AK296" s="55"/>
      <c r="AL296" s="8">
        <f>+'Gov Rev'!AI296-'Gov Exp'!AE296+'Gov Exp'!AI296-'Gov Exp'!AK296</f>
        <v>101133</v>
      </c>
      <c r="AM296" s="6" t="str">
        <f>'Gov Rev'!A296</f>
        <v>Killbuck</v>
      </c>
      <c r="AN296" s="6" t="str">
        <f t="shared" si="13"/>
        <v>Killbuck</v>
      </c>
      <c r="AO296" s="6" t="b">
        <f t="shared" si="14"/>
        <v>1</v>
      </c>
    </row>
    <row r="297" spans="1:41" x14ac:dyDescent="0.2">
      <c r="A297" s="6" t="s">
        <v>198</v>
      </c>
      <c r="C297" s="6" t="s">
        <v>485</v>
      </c>
      <c r="E297" s="8">
        <v>8824.2099999999991</v>
      </c>
      <c r="G297" s="8">
        <v>0</v>
      </c>
      <c r="I297" s="8">
        <v>2915.63</v>
      </c>
      <c r="K297" s="8">
        <v>38264</v>
      </c>
      <c r="M297" s="8">
        <v>25000</v>
      </c>
      <c r="O297" s="8">
        <v>15101.33</v>
      </c>
      <c r="Q297" s="8">
        <v>60273.14</v>
      </c>
      <c r="S297" s="8">
        <v>7000</v>
      </c>
      <c r="U297" s="8">
        <v>0</v>
      </c>
      <c r="W297" s="8">
        <v>0</v>
      </c>
      <c r="Y297" s="8">
        <v>0</v>
      </c>
      <c r="AA297" s="8">
        <v>0</v>
      </c>
      <c r="AC297" s="8">
        <v>0</v>
      </c>
      <c r="AE297" s="8">
        <f t="shared" si="12"/>
        <v>157378.31</v>
      </c>
      <c r="AF297" s="8"/>
      <c r="AG297" s="55">
        <v>115103.1</v>
      </c>
      <c r="AH297" s="55"/>
      <c r="AI297" s="55">
        <v>781856.71</v>
      </c>
      <c r="AJ297" s="55"/>
      <c r="AK297" s="55">
        <v>896959.81</v>
      </c>
      <c r="AL297" s="8">
        <f>+'Gov Rev'!AI297-'Gov Exp'!AE297+'Gov Exp'!AI297-'Gov Exp'!AK297</f>
        <v>0</v>
      </c>
      <c r="AM297" s="6" t="str">
        <f>'Gov Rev'!A297</f>
        <v>Kingston</v>
      </c>
      <c r="AN297" s="6" t="str">
        <f t="shared" si="13"/>
        <v>Kingston</v>
      </c>
      <c r="AO297" s="6" t="b">
        <f t="shared" si="14"/>
        <v>1</v>
      </c>
    </row>
    <row r="298" spans="1:41" x14ac:dyDescent="0.2">
      <c r="A298" s="6" t="s">
        <v>127</v>
      </c>
      <c r="C298" s="6" t="s">
        <v>419</v>
      </c>
      <c r="E298" s="8">
        <v>16251.08</v>
      </c>
      <c r="G298" s="8">
        <v>0</v>
      </c>
      <c r="I298" s="8">
        <v>1761.01</v>
      </c>
      <c r="K298" s="8">
        <v>0</v>
      </c>
      <c r="M298" s="8">
        <v>0</v>
      </c>
      <c r="O298" s="8">
        <v>12461.25</v>
      </c>
      <c r="Q298" s="8">
        <v>30709.3</v>
      </c>
      <c r="S298" s="8">
        <v>0</v>
      </c>
      <c r="U298" s="8">
        <v>10894.24</v>
      </c>
      <c r="W298" s="8">
        <v>137.96</v>
      </c>
      <c r="Y298" s="8">
        <v>900</v>
      </c>
      <c r="AA298" s="8">
        <v>0</v>
      </c>
      <c r="AC298" s="8">
        <v>0</v>
      </c>
      <c r="AE298" s="8">
        <f t="shared" si="12"/>
        <v>73114.840000000011</v>
      </c>
      <c r="AF298" s="8"/>
      <c r="AG298" s="55">
        <v>-18247.560000000001</v>
      </c>
      <c r="AH298" s="55"/>
      <c r="AI298" s="55">
        <v>56659.83</v>
      </c>
      <c r="AJ298" s="55"/>
      <c r="AK298" s="55">
        <v>38412.269999999997</v>
      </c>
      <c r="AL298" s="8">
        <f>+'Gov Rev'!AI298-'Gov Exp'!AE298+'Gov Exp'!AI298-'Gov Exp'!AK298</f>
        <v>0</v>
      </c>
      <c r="AM298" s="6" t="str">
        <f>'Gov Rev'!A298</f>
        <v>Kipton</v>
      </c>
      <c r="AN298" s="6" t="str">
        <f t="shared" si="13"/>
        <v>Kipton</v>
      </c>
      <c r="AO298" s="6" t="b">
        <f t="shared" si="14"/>
        <v>1</v>
      </c>
    </row>
    <row r="299" spans="1:41" x14ac:dyDescent="0.2">
      <c r="A299" s="6" t="s">
        <v>247</v>
      </c>
      <c r="C299" s="6" t="s">
        <v>566</v>
      </c>
      <c r="E299" s="8">
        <v>7281.78</v>
      </c>
      <c r="G299" s="8">
        <v>649.95000000000005</v>
      </c>
      <c r="I299" s="8">
        <v>0</v>
      </c>
      <c r="K299" s="8">
        <v>0</v>
      </c>
      <c r="M299" s="8">
        <v>0</v>
      </c>
      <c r="O299" s="8">
        <v>1668.17</v>
      </c>
      <c r="Q299" s="8">
        <v>10326.379999999999</v>
      </c>
      <c r="S299" s="8">
        <v>0</v>
      </c>
      <c r="U299" s="8">
        <v>0</v>
      </c>
      <c r="W299" s="8">
        <v>0</v>
      </c>
      <c r="Y299" s="8">
        <v>0</v>
      </c>
      <c r="AA299" s="8">
        <v>0</v>
      </c>
      <c r="AC299" s="8">
        <v>0</v>
      </c>
      <c r="AE299" s="8">
        <f t="shared" si="12"/>
        <v>19926.28</v>
      </c>
      <c r="AF299" s="8"/>
      <c r="AG299" s="55">
        <v>4215.3100000000004</v>
      </c>
      <c r="AH299" s="55"/>
      <c r="AI299" s="55">
        <v>66952.259999999995</v>
      </c>
      <c r="AJ299" s="55"/>
      <c r="AK299" s="55">
        <v>71167.570000000007</v>
      </c>
      <c r="AL299" s="8">
        <f>+'Gov Rev'!AI299-'Gov Exp'!AE299+'Gov Exp'!AI299-'Gov Exp'!AK299</f>
        <v>0</v>
      </c>
      <c r="AM299" s="6" t="str">
        <f>'Gov Rev'!A299</f>
        <v>Kirby</v>
      </c>
      <c r="AN299" s="6" t="str">
        <f t="shared" si="13"/>
        <v>Kirby</v>
      </c>
      <c r="AO299" s="6" t="b">
        <f t="shared" si="14"/>
        <v>1</v>
      </c>
    </row>
    <row r="300" spans="1:41" x14ac:dyDescent="0.2">
      <c r="A300" s="6" t="s">
        <v>644</v>
      </c>
      <c r="C300" s="6" t="s">
        <v>408</v>
      </c>
      <c r="E300" s="8">
        <v>23309.53</v>
      </c>
      <c r="G300" s="8">
        <v>0</v>
      </c>
      <c r="I300" s="8">
        <v>0</v>
      </c>
      <c r="K300" s="8">
        <v>263.77999999999997</v>
      </c>
      <c r="M300" s="8">
        <v>0</v>
      </c>
      <c r="O300" s="8">
        <v>12642.26</v>
      </c>
      <c r="Q300" s="8">
        <v>105779.47</v>
      </c>
      <c r="S300" s="8">
        <v>6156.6</v>
      </c>
      <c r="U300" s="8">
        <v>0</v>
      </c>
      <c r="W300" s="8">
        <v>0</v>
      </c>
      <c r="Y300" s="8">
        <v>1350</v>
      </c>
      <c r="AA300" s="8">
        <v>0</v>
      </c>
      <c r="AC300" s="8">
        <v>0</v>
      </c>
      <c r="AE300" s="8">
        <f t="shared" si="12"/>
        <v>149501.64000000001</v>
      </c>
      <c r="AF300" s="8"/>
      <c r="AG300" s="55">
        <v>9654.7099999999991</v>
      </c>
      <c r="AH300" s="55"/>
      <c r="AI300" s="55">
        <v>37777.519999999997</v>
      </c>
      <c r="AJ300" s="55"/>
      <c r="AK300" s="55">
        <v>47432.23</v>
      </c>
      <c r="AL300" s="8">
        <f>+'Gov Rev'!AI300-'Gov Exp'!AE300+'Gov Exp'!AI300-'Gov Exp'!AK300</f>
        <v>0</v>
      </c>
      <c r="AM300" s="6" t="str">
        <f>'Gov Rev'!A300</f>
        <v>Kirkersville</v>
      </c>
      <c r="AN300" s="6" t="str">
        <f t="shared" si="13"/>
        <v>Kirkersville</v>
      </c>
      <c r="AO300" s="6" t="b">
        <f t="shared" si="14"/>
        <v>1</v>
      </c>
    </row>
    <row r="301" spans="1:41" x14ac:dyDescent="0.2">
      <c r="A301" s="6" t="s">
        <v>783</v>
      </c>
      <c r="C301" s="6" t="s">
        <v>399</v>
      </c>
      <c r="E301" s="8">
        <v>1290448</v>
      </c>
      <c r="G301" s="8">
        <v>15992</v>
      </c>
      <c r="I301" s="8">
        <v>1501</v>
      </c>
      <c r="K301" s="8">
        <v>550</v>
      </c>
      <c r="M301" s="8">
        <v>66337</v>
      </c>
      <c r="O301" s="8">
        <v>382546</v>
      </c>
      <c r="Q301" s="8">
        <v>233329</v>
      </c>
      <c r="S301" s="8">
        <v>623451</v>
      </c>
      <c r="U301" s="8">
        <v>0</v>
      </c>
      <c r="W301" s="8">
        <v>0</v>
      </c>
      <c r="Y301" s="8">
        <v>41094</v>
      </c>
      <c r="AA301" s="8">
        <v>0</v>
      </c>
      <c r="AC301" s="8">
        <v>0</v>
      </c>
      <c r="AE301" s="8">
        <f t="shared" si="12"/>
        <v>2655248</v>
      </c>
      <c r="AF301" s="8"/>
      <c r="AG301" s="55"/>
      <c r="AH301" s="55"/>
      <c r="AI301" s="55"/>
      <c r="AJ301" s="55"/>
      <c r="AK301" s="55"/>
      <c r="AL301" s="8">
        <f>+'Gov Rev'!AI301-'Gov Exp'!AE301+'Gov Exp'!AI301-'Gov Exp'!AK301</f>
        <v>-668610</v>
      </c>
      <c r="AM301" s="6" t="str">
        <f>'Gov Rev'!A301</f>
        <v>Kirtland Hills</v>
      </c>
      <c r="AN301" s="6" t="str">
        <f t="shared" si="13"/>
        <v>Kirtland Hills</v>
      </c>
      <c r="AO301" s="6" t="b">
        <f t="shared" si="14"/>
        <v>1</v>
      </c>
    </row>
    <row r="302" spans="1:41" x14ac:dyDescent="0.2">
      <c r="A302" s="6" t="s">
        <v>838</v>
      </c>
      <c r="C302" s="6" t="s">
        <v>430</v>
      </c>
      <c r="E302" s="8">
        <v>20213</v>
      </c>
      <c r="G302" s="8">
        <v>293.25</v>
      </c>
      <c r="I302" s="8">
        <v>61463.38</v>
      </c>
      <c r="K302" s="8">
        <v>0</v>
      </c>
      <c r="M302" s="8">
        <v>0</v>
      </c>
      <c r="O302" s="8">
        <v>65724.56</v>
      </c>
      <c r="Q302" s="8">
        <v>161360.9</v>
      </c>
      <c r="S302" s="8">
        <v>0</v>
      </c>
      <c r="U302" s="8">
        <v>0</v>
      </c>
      <c r="W302" s="8">
        <v>0</v>
      </c>
      <c r="Y302" s="8">
        <v>0</v>
      </c>
      <c r="AA302" s="8">
        <v>0</v>
      </c>
      <c r="AC302" s="8">
        <v>0</v>
      </c>
      <c r="AE302" s="8">
        <f t="shared" si="12"/>
        <v>309055.08999999997</v>
      </c>
      <c r="AF302" s="8"/>
      <c r="AG302" s="55">
        <v>-8942.9599999999991</v>
      </c>
      <c r="AH302" s="55"/>
      <c r="AI302" s="55">
        <v>32247.53</v>
      </c>
      <c r="AJ302" s="55"/>
      <c r="AK302" s="55">
        <v>23304.57</v>
      </c>
      <c r="AL302" s="8">
        <f>+'Gov Rev'!AI302-'Gov Exp'!AE302+'Gov Exp'!AI302-'Gov Exp'!AK302</f>
        <v>3.637978807091713E-11</v>
      </c>
      <c r="AM302" s="6" t="str">
        <f>'Gov Rev'!A302</f>
        <v>La Rue</v>
      </c>
      <c r="AN302" s="6" t="str">
        <f t="shared" si="13"/>
        <v>La Rue</v>
      </c>
      <c r="AO302" s="6" t="b">
        <f t="shared" si="14"/>
        <v>1</v>
      </c>
    </row>
    <row r="303" spans="1:41" x14ac:dyDescent="0.2">
      <c r="A303" s="6" t="s">
        <v>5</v>
      </c>
      <c r="C303" s="6" t="s">
        <v>651</v>
      </c>
      <c r="E303" s="8">
        <v>13271.27</v>
      </c>
      <c r="G303" s="8">
        <v>0</v>
      </c>
      <c r="I303" s="8">
        <v>0</v>
      </c>
      <c r="K303" s="8">
        <v>0</v>
      </c>
      <c r="M303" s="8">
        <v>3532.6</v>
      </c>
      <c r="O303" s="8">
        <v>11913.2</v>
      </c>
      <c r="Q303" s="8">
        <v>24295.32</v>
      </c>
      <c r="S303" s="8">
        <v>706.63</v>
      </c>
      <c r="U303" s="8">
        <v>2590.25</v>
      </c>
      <c r="W303" s="8">
        <v>490.9</v>
      </c>
      <c r="Y303" s="8">
        <v>6000</v>
      </c>
      <c r="AA303" s="8">
        <v>0</v>
      </c>
      <c r="AC303" s="8">
        <v>0</v>
      </c>
      <c r="AE303" s="8">
        <f t="shared" si="12"/>
        <v>62800.17</v>
      </c>
      <c r="AF303" s="8"/>
      <c r="AG303" s="55">
        <v>5322.16</v>
      </c>
      <c r="AH303" s="55"/>
      <c r="AI303" s="55">
        <v>26114.89</v>
      </c>
      <c r="AJ303" s="55"/>
      <c r="AK303" s="55">
        <v>31437.05</v>
      </c>
      <c r="AL303" s="8">
        <f>+'Gov Rev'!AI303-'Gov Exp'!AE303+'Gov Exp'!AI303-'Gov Exp'!AK303</f>
        <v>0</v>
      </c>
      <c r="AM303" s="6" t="str">
        <f>'Gov Rev'!A303</f>
        <v>Lafayette</v>
      </c>
      <c r="AN303" s="6" t="str">
        <f t="shared" si="13"/>
        <v>Lafayette</v>
      </c>
      <c r="AO303" s="6" t="b">
        <f t="shared" si="14"/>
        <v>1</v>
      </c>
    </row>
    <row r="304" spans="1:41" x14ac:dyDescent="0.2">
      <c r="A304" s="6" t="s">
        <v>128</v>
      </c>
      <c r="C304" s="6" t="s">
        <v>419</v>
      </c>
      <c r="E304" s="8">
        <v>540922.48</v>
      </c>
      <c r="G304" s="8">
        <v>7216</v>
      </c>
      <c r="I304" s="8">
        <v>83730.92</v>
      </c>
      <c r="K304" s="8">
        <v>76957.19</v>
      </c>
      <c r="M304" s="8">
        <v>152883.1</v>
      </c>
      <c r="O304" s="8">
        <v>50173.919999999998</v>
      </c>
      <c r="Q304" s="8">
        <v>451075.82</v>
      </c>
      <c r="S304" s="8">
        <v>80203.520000000004</v>
      </c>
      <c r="U304" s="8">
        <v>78191.759999999995</v>
      </c>
      <c r="W304" s="8">
        <v>0</v>
      </c>
      <c r="Y304" s="8">
        <v>89231</v>
      </c>
      <c r="AA304" s="8">
        <v>0</v>
      </c>
      <c r="AC304" s="8">
        <v>0</v>
      </c>
      <c r="AE304" s="8">
        <f t="shared" si="12"/>
        <v>1610585.7100000002</v>
      </c>
      <c r="AF304" s="8"/>
      <c r="AG304" s="55">
        <v>51696.55</v>
      </c>
      <c r="AH304" s="55"/>
      <c r="AI304" s="55">
        <v>1408598.81</v>
      </c>
      <c r="AJ304" s="55"/>
      <c r="AK304" s="55">
        <v>1460295.36</v>
      </c>
      <c r="AL304" s="8">
        <f>+'Gov Rev'!AI304-'Gov Exp'!AE304+'Gov Exp'!AI304-'Gov Exp'!AK304</f>
        <v>0</v>
      </c>
      <c r="AM304" s="6" t="str">
        <f>'Gov Rev'!A304</f>
        <v>Lagrange</v>
      </c>
      <c r="AN304" s="6" t="str">
        <f t="shared" si="13"/>
        <v>Lagrange</v>
      </c>
      <c r="AO304" s="6" t="b">
        <f t="shared" si="14"/>
        <v>1</v>
      </c>
    </row>
    <row r="305" spans="1:41" x14ac:dyDescent="0.2">
      <c r="A305" s="6" t="s">
        <v>646</v>
      </c>
      <c r="C305" s="6" t="s">
        <v>399</v>
      </c>
      <c r="E305" s="8">
        <v>55697.04</v>
      </c>
      <c r="G305" s="8">
        <v>0</v>
      </c>
      <c r="I305" s="8">
        <v>0</v>
      </c>
      <c r="K305" s="8">
        <v>0</v>
      </c>
      <c r="M305" s="8">
        <v>6316.11</v>
      </c>
      <c r="O305" s="8">
        <v>40143.39</v>
      </c>
      <c r="Q305" s="8">
        <v>16754.349999999999</v>
      </c>
      <c r="S305" s="8">
        <v>0</v>
      </c>
      <c r="U305" s="8">
        <v>18353.419999999998</v>
      </c>
      <c r="W305" s="8">
        <v>3839.06</v>
      </c>
      <c r="Y305" s="8">
        <v>0</v>
      </c>
      <c r="AA305" s="8">
        <v>0</v>
      </c>
      <c r="AC305" s="8">
        <v>0</v>
      </c>
      <c r="AE305" s="8">
        <f t="shared" si="12"/>
        <v>141103.37</v>
      </c>
      <c r="AF305" s="8"/>
      <c r="AG305" s="55">
        <v>-7428.24</v>
      </c>
      <c r="AH305" s="55"/>
      <c r="AI305" s="55">
        <v>249387.04</v>
      </c>
      <c r="AJ305" s="55"/>
      <c r="AK305" s="55">
        <v>241958.8</v>
      </c>
      <c r="AL305" s="8">
        <f>+'Gov Rev'!AI305-'Gov Exp'!AE305+'Gov Exp'!AI305-'Gov Exp'!AK305</f>
        <v>0</v>
      </c>
      <c r="AM305" s="6" t="str">
        <f>'Gov Rev'!A305</f>
        <v>Lakeline</v>
      </c>
      <c r="AN305" s="6" t="str">
        <f t="shared" si="13"/>
        <v>Lakeline</v>
      </c>
      <c r="AO305" s="6" t="b">
        <f t="shared" si="14"/>
        <v>1</v>
      </c>
    </row>
    <row r="306" spans="1:41" x14ac:dyDescent="0.2">
      <c r="A306" s="6" t="s">
        <v>700</v>
      </c>
      <c r="C306" s="6" t="s">
        <v>511</v>
      </c>
      <c r="E306" s="8">
        <f>547255+378331</f>
        <v>925586</v>
      </c>
      <c r="G306" s="8">
        <v>118650</v>
      </c>
      <c r="I306" s="8">
        <v>2406</v>
      </c>
      <c r="K306" s="8">
        <v>6341</v>
      </c>
      <c r="M306" s="8">
        <v>0</v>
      </c>
      <c r="O306" s="8">
        <v>138350</v>
      </c>
      <c r="Q306" s="8">
        <v>241133</v>
      </c>
      <c r="S306" s="8">
        <v>0</v>
      </c>
      <c r="U306" s="8">
        <v>7136</v>
      </c>
      <c r="W306" s="8">
        <v>3693</v>
      </c>
      <c r="Y306" s="8">
        <v>112573</v>
      </c>
      <c r="AA306" s="8">
        <v>110127</v>
      </c>
      <c r="AC306" s="8">
        <v>0</v>
      </c>
      <c r="AE306" s="8">
        <f t="shared" si="12"/>
        <v>1665995</v>
      </c>
      <c r="AF306" s="8"/>
      <c r="AG306" s="55"/>
      <c r="AH306" s="55"/>
      <c r="AI306" s="55"/>
      <c r="AJ306" s="55"/>
      <c r="AK306" s="55"/>
      <c r="AL306" s="8">
        <f>+'Gov Rev'!AI306-'Gov Exp'!AE306+'Gov Exp'!AI306-'Gov Exp'!AK306</f>
        <v>245240</v>
      </c>
      <c r="AM306" s="6" t="str">
        <f>'Gov Rev'!A306</f>
        <v>Lakemore</v>
      </c>
      <c r="AN306" s="6" t="str">
        <f t="shared" si="13"/>
        <v>Lakemore</v>
      </c>
      <c r="AO306" s="6" t="b">
        <f t="shared" si="14"/>
        <v>1</v>
      </c>
    </row>
    <row r="307" spans="1:41" x14ac:dyDescent="0.2">
      <c r="A307" s="6" t="s">
        <v>700</v>
      </c>
      <c r="C307" s="6" t="s">
        <v>511</v>
      </c>
      <c r="E307" s="8">
        <v>935901.95</v>
      </c>
      <c r="G307" s="8">
        <v>250</v>
      </c>
      <c r="I307" s="8">
        <v>2405.9699999999998</v>
      </c>
      <c r="K307" s="8">
        <v>124739.67</v>
      </c>
      <c r="M307" s="8">
        <v>0</v>
      </c>
      <c r="O307" s="8">
        <v>138350.32999999999</v>
      </c>
      <c r="Q307" s="8">
        <v>229235.86</v>
      </c>
      <c r="S307" s="8">
        <v>0</v>
      </c>
      <c r="U307" s="8">
        <v>0</v>
      </c>
      <c r="W307" s="8">
        <v>0</v>
      </c>
      <c r="Y307" s="8">
        <v>112573.48</v>
      </c>
      <c r="AA307" s="8">
        <v>110127.41</v>
      </c>
      <c r="AC307" s="8">
        <v>12408.37</v>
      </c>
      <c r="AE307" s="8">
        <f t="shared" si="12"/>
        <v>1665993.0399999998</v>
      </c>
      <c r="AF307" s="8"/>
      <c r="AG307" s="55">
        <v>245241.01</v>
      </c>
      <c r="AH307" s="55"/>
      <c r="AI307" s="55">
        <v>-621064.01</v>
      </c>
      <c r="AJ307" s="55"/>
      <c r="AK307" s="55">
        <v>-375823</v>
      </c>
      <c r="AL307" s="8">
        <f>+'Gov Rev'!AI307-'Gov Exp'!AE307+'Gov Exp'!AI307-'Gov Exp'!AK307</f>
        <v>0</v>
      </c>
      <c r="AM307" s="6" t="str">
        <f>'Gov Rev'!A307</f>
        <v>Lakemore</v>
      </c>
      <c r="AN307" s="6" t="str">
        <f t="shared" si="13"/>
        <v>Lakemore</v>
      </c>
      <c r="AO307" s="6" t="b">
        <f t="shared" si="14"/>
        <v>1</v>
      </c>
    </row>
    <row r="308" spans="1:41" x14ac:dyDescent="0.2">
      <c r="A308" s="6" t="s">
        <v>645</v>
      </c>
      <c r="C308" s="6" t="s">
        <v>414</v>
      </c>
      <c r="E308" s="8">
        <v>147820.51</v>
      </c>
      <c r="G308" s="8">
        <v>0</v>
      </c>
      <c r="I308" s="8">
        <v>553.88</v>
      </c>
      <c r="K308" s="8">
        <v>0</v>
      </c>
      <c r="M308" s="8">
        <v>4782.1899999999996</v>
      </c>
      <c r="O308" s="8">
        <v>94516.32</v>
      </c>
      <c r="Q308" s="8">
        <v>233912.58</v>
      </c>
      <c r="S308" s="8">
        <v>0</v>
      </c>
      <c r="U308" s="8">
        <v>0</v>
      </c>
      <c r="W308" s="8">
        <v>0</v>
      </c>
      <c r="Y308" s="8">
        <v>0</v>
      </c>
      <c r="AA308" s="8">
        <v>0</v>
      </c>
      <c r="AC308" s="8">
        <v>0</v>
      </c>
      <c r="AE308" s="8">
        <f t="shared" si="12"/>
        <v>481585.48</v>
      </c>
      <c r="AF308" s="8"/>
      <c r="AG308" s="55">
        <v>82578.14</v>
      </c>
      <c r="AH308" s="55"/>
      <c r="AI308" s="55">
        <v>568300.01</v>
      </c>
      <c r="AJ308" s="55"/>
      <c r="AK308" s="55">
        <v>650878.15</v>
      </c>
      <c r="AL308" s="8">
        <f>+'Gov Rev'!AI308-'Gov Exp'!AE308+'Gov Exp'!AI308-'Gov Exp'!AK308</f>
        <v>0</v>
      </c>
      <c r="AM308" s="6" t="str">
        <f>'Gov Rev'!A308</f>
        <v>Lakeview</v>
      </c>
      <c r="AN308" s="6" t="str">
        <f t="shared" si="13"/>
        <v>Lakeview</v>
      </c>
      <c r="AO308" s="6" t="b">
        <f t="shared" si="14"/>
        <v>1</v>
      </c>
    </row>
    <row r="309" spans="1:41" x14ac:dyDescent="0.2">
      <c r="A309" s="6" t="s">
        <v>170</v>
      </c>
      <c r="C309" s="6" t="s">
        <v>460</v>
      </c>
      <c r="E309" s="8">
        <v>11078.4</v>
      </c>
      <c r="G309" s="8">
        <v>0</v>
      </c>
      <c r="I309" s="8">
        <v>0</v>
      </c>
      <c r="K309" s="8">
        <v>0</v>
      </c>
      <c r="M309" s="8">
        <v>0</v>
      </c>
      <c r="O309" s="8">
        <v>8741.36</v>
      </c>
      <c r="Q309" s="8">
        <v>26305.01</v>
      </c>
      <c r="S309" s="8">
        <v>2583.25</v>
      </c>
      <c r="U309" s="8">
        <v>0</v>
      </c>
      <c r="W309" s="8">
        <v>0</v>
      </c>
      <c r="Y309" s="8">
        <v>750</v>
      </c>
      <c r="AA309" s="8">
        <v>0</v>
      </c>
      <c r="AC309" s="8">
        <v>4935.53</v>
      </c>
      <c r="AE309" s="8">
        <f t="shared" si="12"/>
        <v>54393.55</v>
      </c>
      <c r="AF309" s="8"/>
      <c r="AG309" s="55">
        <v>6797.52</v>
      </c>
      <c r="AH309" s="55"/>
      <c r="AI309" s="55">
        <v>97605.64</v>
      </c>
      <c r="AJ309" s="55"/>
      <c r="AK309" s="55">
        <v>104403.16</v>
      </c>
      <c r="AL309" s="8">
        <f>+'Gov Rev'!AI309-'Gov Exp'!AE309+'Gov Exp'!AI309-'Gov Exp'!AK309</f>
        <v>0</v>
      </c>
      <c r="AM309" s="6" t="str">
        <f>'Gov Rev'!A309</f>
        <v>Latty</v>
      </c>
      <c r="AN309" s="6" t="str">
        <f t="shared" si="13"/>
        <v>Latty</v>
      </c>
      <c r="AO309" s="6" t="b">
        <f t="shared" si="14"/>
        <v>1</v>
      </c>
    </row>
    <row r="310" spans="1:41" x14ac:dyDescent="0.2">
      <c r="A310" s="6" t="s">
        <v>149</v>
      </c>
      <c r="C310" s="6" t="s">
        <v>437</v>
      </c>
      <c r="E310" s="8">
        <v>10235.799999999999</v>
      </c>
      <c r="G310" s="8">
        <v>0</v>
      </c>
      <c r="I310" s="8">
        <v>2364.7199999999998</v>
      </c>
      <c r="K310" s="8">
        <v>0</v>
      </c>
      <c r="M310" s="8">
        <v>3792.37</v>
      </c>
      <c r="O310" s="8">
        <v>7115.84</v>
      </c>
      <c r="Q310" s="8">
        <v>17513.03</v>
      </c>
      <c r="S310" s="8">
        <v>0</v>
      </c>
      <c r="U310" s="8">
        <v>4643</v>
      </c>
      <c r="W310" s="8">
        <v>0</v>
      </c>
      <c r="Y310" s="8">
        <v>27597.84</v>
      </c>
      <c r="AA310" s="8">
        <v>0</v>
      </c>
      <c r="AC310" s="8">
        <v>1742.53</v>
      </c>
      <c r="AE310" s="8">
        <f t="shared" si="12"/>
        <v>75005.12999999999</v>
      </c>
      <c r="AF310" s="8"/>
      <c r="AG310" s="55">
        <v>21457.66</v>
      </c>
      <c r="AH310" s="55"/>
      <c r="AI310" s="55">
        <v>133008.70000000001</v>
      </c>
      <c r="AJ310" s="55"/>
      <c r="AK310" s="55">
        <v>154466.35999999999</v>
      </c>
      <c r="AL310" s="8">
        <f>+'Gov Rev'!AI310-'Gov Exp'!AE310+'Gov Exp'!AI310-'Gov Exp'!AK310</f>
        <v>0</v>
      </c>
      <c r="AM310" s="6" t="str">
        <f>'Gov Rev'!A310</f>
        <v>Laura</v>
      </c>
      <c r="AN310" s="6" t="str">
        <f t="shared" si="13"/>
        <v>Laura</v>
      </c>
      <c r="AO310" s="6" t="b">
        <f t="shared" si="14"/>
        <v>1</v>
      </c>
    </row>
    <row r="311" spans="1:41" x14ac:dyDescent="0.2">
      <c r="A311" s="6" t="s">
        <v>106</v>
      </c>
      <c r="C311" s="6" t="s">
        <v>790</v>
      </c>
      <c r="E311" s="8">
        <v>250323.69</v>
      </c>
      <c r="G311" s="8">
        <v>0</v>
      </c>
      <c r="I311" s="8">
        <v>1813.82</v>
      </c>
      <c r="K311" s="8">
        <v>308.97000000000003</v>
      </c>
      <c r="M311" s="8">
        <v>11526.13</v>
      </c>
      <c r="O311" s="8">
        <v>46230.51</v>
      </c>
      <c r="Q311" s="8">
        <v>40336.14</v>
      </c>
      <c r="S311" s="8">
        <v>0</v>
      </c>
      <c r="U311" s="8">
        <v>60504.2</v>
      </c>
      <c r="W311" s="8">
        <v>13982.65</v>
      </c>
      <c r="Y311" s="8">
        <v>3796</v>
      </c>
      <c r="AA311" s="8">
        <v>0</v>
      </c>
      <c r="AC311" s="8">
        <v>0</v>
      </c>
      <c r="AE311" s="8">
        <f t="shared" si="12"/>
        <v>428822.11000000004</v>
      </c>
      <c r="AF311" s="8"/>
      <c r="AG311" s="55">
        <v>-27673.05</v>
      </c>
      <c r="AH311" s="55"/>
      <c r="AI311" s="55">
        <v>234312.14</v>
      </c>
      <c r="AJ311" s="55"/>
      <c r="AK311" s="55">
        <v>206639.09</v>
      </c>
      <c r="AL311" s="8">
        <f>+'Gov Rev'!AI311-'Gov Exp'!AE311+'Gov Exp'!AI311-'Gov Exp'!AK311</f>
        <v>0</v>
      </c>
      <c r="AM311" s="6" t="str">
        <f>'Gov Rev'!A311</f>
        <v>Laurelville</v>
      </c>
      <c r="AN311" s="6" t="str">
        <f t="shared" si="13"/>
        <v>Laurelville</v>
      </c>
      <c r="AO311" s="6" t="b">
        <f t="shared" si="14"/>
        <v>1</v>
      </c>
    </row>
    <row r="312" spans="1:41" x14ac:dyDescent="0.2">
      <c r="A312" s="6" t="s">
        <v>802</v>
      </c>
      <c r="C312" s="6" t="s">
        <v>379</v>
      </c>
      <c r="E312" s="8">
        <v>270700.86</v>
      </c>
      <c r="G312" s="8">
        <v>0</v>
      </c>
      <c r="I312" s="8">
        <v>7194.14</v>
      </c>
      <c r="K312" s="8">
        <v>0</v>
      </c>
      <c r="M312" s="8">
        <v>2900</v>
      </c>
      <c r="O312" s="8">
        <v>53151.95</v>
      </c>
      <c r="Q312" s="8">
        <v>165803.03</v>
      </c>
      <c r="S312" s="8">
        <v>2360.88</v>
      </c>
      <c r="U312" s="8">
        <v>0</v>
      </c>
      <c r="W312" s="8">
        <v>0</v>
      </c>
      <c r="Y312" s="8">
        <v>3266.62</v>
      </c>
      <c r="AA312" s="8">
        <v>0</v>
      </c>
      <c r="AC312" s="8">
        <v>19214.18</v>
      </c>
      <c r="AE312" s="8">
        <f t="shared" si="12"/>
        <v>524591.66</v>
      </c>
      <c r="AF312" s="8"/>
      <c r="AG312" s="55">
        <v>-6667.31</v>
      </c>
      <c r="AH312" s="55"/>
      <c r="AI312" s="55">
        <v>842437.74</v>
      </c>
      <c r="AJ312" s="55"/>
      <c r="AK312" s="55">
        <v>835770.43</v>
      </c>
      <c r="AL312" s="8">
        <f>+'Gov Rev'!AI312-'Gov Exp'!AE312+'Gov Exp'!AI312-'Gov Exp'!AK312</f>
        <v>0</v>
      </c>
      <c r="AM312" s="6" t="str">
        <f>'Gov Rev'!A312</f>
        <v>Leesburg</v>
      </c>
      <c r="AN312" s="6" t="str">
        <f t="shared" si="13"/>
        <v>Leesburg</v>
      </c>
      <c r="AO312" s="6" t="b">
        <f t="shared" si="14"/>
        <v>1</v>
      </c>
    </row>
    <row r="313" spans="1:41" x14ac:dyDescent="0.2">
      <c r="A313" s="6" t="s">
        <v>28</v>
      </c>
      <c r="C313" s="6" t="s">
        <v>57</v>
      </c>
      <c r="E313" s="8">
        <v>6222.96</v>
      </c>
      <c r="G313" s="8">
        <v>1513.29</v>
      </c>
      <c r="I313" s="8">
        <v>210.73</v>
      </c>
      <c r="K313" s="8">
        <v>0</v>
      </c>
      <c r="M313" s="8">
        <v>0</v>
      </c>
      <c r="O313" s="8">
        <v>5356.27</v>
      </c>
      <c r="Q313" s="8">
        <v>16134.43</v>
      </c>
      <c r="S313" s="8">
        <v>0</v>
      </c>
      <c r="U313" s="8">
        <v>0</v>
      </c>
      <c r="W313" s="8">
        <v>0</v>
      </c>
      <c r="Y313" s="8">
        <v>0</v>
      </c>
      <c r="AA313" s="8">
        <v>0</v>
      </c>
      <c r="AC313" s="8">
        <v>0</v>
      </c>
      <c r="AE313" s="8">
        <f t="shared" si="12"/>
        <v>29437.68</v>
      </c>
      <c r="AF313" s="8"/>
      <c r="AG313" s="55">
        <v>5585.73</v>
      </c>
      <c r="AH313" s="55"/>
      <c r="AI313" s="55">
        <v>72804.39</v>
      </c>
      <c r="AJ313" s="55"/>
      <c r="AK313" s="55">
        <v>78390.12</v>
      </c>
      <c r="AL313" s="8">
        <f>+'Gov Rev'!AI313-'Gov Exp'!AE313+'Gov Exp'!AI313-'Gov Exp'!AK313</f>
        <v>0</v>
      </c>
      <c r="AM313" s="6" t="str">
        <f>'Gov Rev'!A313</f>
        <v>Leesville</v>
      </c>
      <c r="AN313" s="6" t="str">
        <f t="shared" si="13"/>
        <v>Leesville</v>
      </c>
      <c r="AO313" s="6" t="b">
        <f t="shared" si="14"/>
        <v>1</v>
      </c>
    </row>
    <row r="314" spans="1:41" x14ac:dyDescent="0.2">
      <c r="A314" s="6" t="s">
        <v>41</v>
      </c>
      <c r="C314" s="6" t="s">
        <v>283</v>
      </c>
      <c r="E314" s="8">
        <v>552358.53</v>
      </c>
      <c r="G314" s="8">
        <v>45377.23</v>
      </c>
      <c r="I314" s="8">
        <v>26728.19</v>
      </c>
      <c r="K314" s="8">
        <v>14794.35</v>
      </c>
      <c r="M314" s="8">
        <v>0</v>
      </c>
      <c r="O314" s="8">
        <v>133484.95000000001</v>
      </c>
      <c r="Q314" s="8">
        <v>184120.19</v>
      </c>
      <c r="S314" s="8">
        <v>31884.66</v>
      </c>
      <c r="U314" s="8">
        <v>24450.14</v>
      </c>
      <c r="W314" s="8">
        <v>355.34</v>
      </c>
      <c r="Y314" s="8">
        <v>500000</v>
      </c>
      <c r="AA314" s="8">
        <v>35005</v>
      </c>
      <c r="AC314" s="8">
        <v>0</v>
      </c>
      <c r="AE314" s="8">
        <f t="shared" si="12"/>
        <v>1548558.58</v>
      </c>
      <c r="AF314" s="8"/>
      <c r="AG314" s="55">
        <v>105341.39</v>
      </c>
      <c r="AH314" s="55"/>
      <c r="AI314" s="55">
        <v>548741.93999999994</v>
      </c>
      <c r="AJ314" s="55"/>
      <c r="AK314" s="55">
        <v>654083.32999999996</v>
      </c>
      <c r="AL314" s="8">
        <f>+'Gov Rev'!AI314-'Gov Exp'!AE314+'Gov Exp'!AI314-'Gov Exp'!AK314</f>
        <v>0</v>
      </c>
      <c r="AM314" s="6" t="str">
        <f>'Gov Rev'!A314</f>
        <v>Leetonia</v>
      </c>
      <c r="AN314" s="6" t="str">
        <f t="shared" si="13"/>
        <v>Leetonia</v>
      </c>
      <c r="AO314" s="6" t="b">
        <f t="shared" si="14"/>
        <v>1</v>
      </c>
    </row>
    <row r="315" spans="1:41" x14ac:dyDescent="0.2">
      <c r="A315" s="6" t="s">
        <v>771</v>
      </c>
      <c r="C315" s="6" t="s">
        <v>476</v>
      </c>
      <c r="E315" s="8">
        <v>0</v>
      </c>
      <c r="G315" s="8">
        <v>0</v>
      </c>
      <c r="I315" s="8">
        <v>0</v>
      </c>
      <c r="K315" s="8">
        <v>0</v>
      </c>
      <c r="M315" s="8">
        <v>0</v>
      </c>
      <c r="O315" s="8">
        <v>0</v>
      </c>
      <c r="Q315" s="8">
        <f>1062784+217862+795910+2709+810573</f>
        <v>2889838</v>
      </c>
      <c r="S315" s="8">
        <v>1586686</v>
      </c>
      <c r="U315" s="8">
        <v>1017880</v>
      </c>
      <c r="W315" s="8">
        <v>582454</v>
      </c>
      <c r="Y315" s="8">
        <v>2141680</v>
      </c>
      <c r="AA315" s="8">
        <v>0</v>
      </c>
      <c r="AC315" s="8">
        <v>0</v>
      </c>
      <c r="AE315" s="8">
        <f t="shared" si="12"/>
        <v>8218538</v>
      </c>
      <c r="AF315" s="8"/>
      <c r="AG315" s="55"/>
      <c r="AH315" s="55"/>
      <c r="AI315" s="55"/>
      <c r="AJ315" s="55"/>
      <c r="AK315" s="55"/>
      <c r="AL315" s="8">
        <f>+'Gov Rev'!AI315-'Gov Exp'!AE315+'Gov Exp'!AI315-'Gov Exp'!AK315</f>
        <v>741801</v>
      </c>
      <c r="AM315" s="6" t="str">
        <f>'Gov Rev'!A315</f>
        <v>Leipsic</v>
      </c>
      <c r="AN315" s="6" t="str">
        <f t="shared" si="13"/>
        <v>Leipsic</v>
      </c>
      <c r="AO315" s="6" t="b">
        <f t="shared" si="14"/>
        <v>1</v>
      </c>
    </row>
    <row r="316" spans="1:41" x14ac:dyDescent="0.2">
      <c r="A316" s="6" t="s">
        <v>471</v>
      </c>
      <c r="C316" s="6" t="s">
        <v>472</v>
      </c>
      <c r="E316" s="8">
        <v>724707</v>
      </c>
      <c r="G316" s="8">
        <v>0</v>
      </c>
      <c r="I316" s="8">
        <v>28065</v>
      </c>
      <c r="K316" s="8">
        <v>8358</v>
      </c>
      <c r="M316" s="8">
        <v>0</v>
      </c>
      <c r="O316" s="8">
        <v>168003</v>
      </c>
      <c r="Q316" s="8">
        <v>283136</v>
      </c>
      <c r="S316" s="8">
        <v>468039</v>
      </c>
      <c r="U316" s="8">
        <v>60313</v>
      </c>
      <c r="W316" s="8">
        <v>8037</v>
      </c>
      <c r="Y316" s="8">
        <v>433983</v>
      </c>
      <c r="AA316" s="8">
        <v>0</v>
      </c>
      <c r="AC316" s="8">
        <v>0</v>
      </c>
      <c r="AE316" s="8">
        <f t="shared" si="12"/>
        <v>2182641</v>
      </c>
      <c r="AF316" s="8"/>
      <c r="AG316" s="55"/>
      <c r="AH316" s="55"/>
      <c r="AI316" s="55"/>
      <c r="AJ316" s="55"/>
      <c r="AK316" s="55"/>
      <c r="AL316" s="8">
        <f>+'Gov Rev'!AI316-'Gov Exp'!AE316+'Gov Exp'!AI316-'Gov Exp'!AK316</f>
        <v>99177</v>
      </c>
      <c r="AM316" s="6" t="str">
        <f>'Gov Rev'!A316</f>
        <v>Lewisburg</v>
      </c>
      <c r="AN316" s="6" t="str">
        <f t="shared" si="13"/>
        <v>Lewisburg</v>
      </c>
      <c r="AO316" s="6" t="b">
        <f t="shared" si="14"/>
        <v>1</v>
      </c>
    </row>
    <row r="317" spans="1:41" x14ac:dyDescent="0.2">
      <c r="A317" s="6" t="s">
        <v>482</v>
      </c>
      <c r="C317" s="6" t="s">
        <v>481</v>
      </c>
      <c r="E317" s="8">
        <v>1120113</v>
      </c>
      <c r="G317" s="8">
        <v>750</v>
      </c>
      <c r="I317" s="8">
        <v>263697</v>
      </c>
      <c r="K317" s="8">
        <v>188105</v>
      </c>
      <c r="M317" s="8">
        <v>8009</v>
      </c>
      <c r="O317" s="8">
        <v>660919</v>
      </c>
      <c r="Q317" s="8">
        <v>524584</v>
      </c>
      <c r="S317" s="8">
        <v>45879</v>
      </c>
      <c r="U317" s="8">
        <v>13755</v>
      </c>
      <c r="W317" s="8">
        <v>0</v>
      </c>
      <c r="Y317" s="8">
        <v>0</v>
      </c>
      <c r="AA317" s="8">
        <v>0</v>
      </c>
      <c r="AC317" s="8">
        <v>319885</v>
      </c>
      <c r="AE317" s="8">
        <f t="shared" si="12"/>
        <v>3145696</v>
      </c>
      <c r="AF317" s="8"/>
      <c r="AG317" s="55"/>
      <c r="AH317" s="55"/>
      <c r="AI317" s="55"/>
      <c r="AJ317" s="55"/>
      <c r="AK317" s="55"/>
      <c r="AL317" s="8">
        <f>+'Gov Rev'!AI317-'Gov Exp'!AE317+'Gov Exp'!AI317-'Gov Exp'!AK317</f>
        <v>250547</v>
      </c>
      <c r="AM317" s="6" t="str">
        <f>'Gov Rev'!A317</f>
        <v>Lexington</v>
      </c>
      <c r="AN317" s="6" t="str">
        <f t="shared" si="13"/>
        <v>Lexington</v>
      </c>
      <c r="AO317" s="6" t="b">
        <f t="shared" si="14"/>
        <v>1</v>
      </c>
    </row>
    <row r="318" spans="1:41" x14ac:dyDescent="0.2">
      <c r="A318" s="6" t="s">
        <v>101</v>
      </c>
      <c r="C318" s="6" t="s">
        <v>377</v>
      </c>
      <c r="E318" s="8">
        <v>59541.33</v>
      </c>
      <c r="G318" s="8">
        <v>12064.35</v>
      </c>
      <c r="I318" s="8">
        <v>16322.49</v>
      </c>
      <c r="K318" s="8">
        <v>7193.79</v>
      </c>
      <c r="M318" s="8">
        <v>54458.86</v>
      </c>
      <c r="O318" s="8">
        <v>61595.48</v>
      </c>
      <c r="Q318" s="8">
        <v>147420.07</v>
      </c>
      <c r="S318" s="8">
        <v>468693.35</v>
      </c>
      <c r="U318" s="8">
        <v>5027.5200000000004</v>
      </c>
      <c r="W318" s="8">
        <v>0</v>
      </c>
      <c r="Y318" s="8">
        <v>5509.96</v>
      </c>
      <c r="AA318" s="8">
        <v>0</v>
      </c>
      <c r="AC318" s="8">
        <v>569.5</v>
      </c>
      <c r="AE318" s="8">
        <f t="shared" si="12"/>
        <v>838396.7</v>
      </c>
      <c r="AF318" s="8"/>
      <c r="AG318" s="55">
        <v>-5552.58</v>
      </c>
      <c r="AH318" s="55"/>
      <c r="AI318" s="55">
        <v>268677.11</v>
      </c>
      <c r="AJ318" s="55"/>
      <c r="AK318" s="55">
        <v>263124.53000000003</v>
      </c>
      <c r="AL318" s="8">
        <f>+'Gov Rev'!AI318-'Gov Exp'!AE318+'Gov Exp'!AI318-'Gov Exp'!AK318</f>
        <v>0</v>
      </c>
      <c r="AM318" s="6" t="str">
        <f>'Gov Rev'!A318</f>
        <v>Liberty Center</v>
      </c>
      <c r="AN318" s="6" t="str">
        <f t="shared" si="13"/>
        <v>Liberty Center</v>
      </c>
      <c r="AO318" s="6" t="b">
        <f t="shared" si="14"/>
        <v>1</v>
      </c>
    </row>
    <row r="319" spans="1:41" x14ac:dyDescent="0.2">
      <c r="A319" s="6" t="s">
        <v>211</v>
      </c>
      <c r="C319" s="6" t="s">
        <v>502</v>
      </c>
      <c r="E319" s="8">
        <v>0</v>
      </c>
      <c r="G319" s="8">
        <v>675</v>
      </c>
      <c r="I319" s="8">
        <v>3423.8</v>
      </c>
      <c r="K319" s="8">
        <v>0</v>
      </c>
      <c r="M319" s="8">
        <v>2526.71</v>
      </c>
      <c r="O319" s="8">
        <v>6892.17</v>
      </c>
      <c r="Q319" s="8">
        <v>9236.64</v>
      </c>
      <c r="S319" s="8">
        <v>18573.5</v>
      </c>
      <c r="U319" s="8">
        <v>0</v>
      </c>
      <c r="W319" s="8">
        <v>0</v>
      </c>
      <c r="Y319" s="8">
        <v>0</v>
      </c>
      <c r="AA319" s="8">
        <v>0</v>
      </c>
      <c r="AC319" s="8">
        <v>0</v>
      </c>
      <c r="AE319" s="8">
        <f t="shared" si="12"/>
        <v>41327.82</v>
      </c>
      <c r="AF319" s="8"/>
      <c r="AG319" s="55">
        <v>-19356.12</v>
      </c>
      <c r="AH319" s="55"/>
      <c r="AI319" s="55">
        <v>39727.480000000003</v>
      </c>
      <c r="AJ319" s="55"/>
      <c r="AK319" s="55">
        <v>20371.36</v>
      </c>
      <c r="AL319" s="8">
        <f>+'Gov Rev'!AI319-'Gov Exp'!AE319+'Gov Exp'!AI319-'Gov Exp'!AK319</f>
        <v>0</v>
      </c>
      <c r="AM319" s="6" t="str">
        <f>'Gov Rev'!A319</f>
        <v>Limaville</v>
      </c>
      <c r="AN319" s="6" t="str">
        <f t="shared" si="13"/>
        <v>Limaville</v>
      </c>
      <c r="AO319" s="6" t="b">
        <f t="shared" si="14"/>
        <v>1</v>
      </c>
    </row>
    <row r="320" spans="1:41" x14ac:dyDescent="0.2">
      <c r="A320" s="6" t="s">
        <v>356</v>
      </c>
      <c r="C320" s="6" t="s">
        <v>351</v>
      </c>
      <c r="E320" s="8">
        <v>1174507</v>
      </c>
      <c r="G320" s="8">
        <v>2316</v>
      </c>
      <c r="I320" s="8">
        <v>3391</v>
      </c>
      <c r="K320" s="8">
        <v>34634</v>
      </c>
      <c r="M320" s="8">
        <v>136321</v>
      </c>
      <c r="O320" s="8">
        <v>123634</v>
      </c>
      <c r="Q320" s="8">
        <v>812495</v>
      </c>
      <c r="S320" s="8">
        <v>404158</v>
      </c>
      <c r="U320" s="8">
        <v>0</v>
      </c>
      <c r="W320" s="8">
        <v>0</v>
      </c>
      <c r="Y320" s="8">
        <v>50021</v>
      </c>
      <c r="AA320" s="8">
        <v>0</v>
      </c>
      <c r="AC320" s="8">
        <v>0</v>
      </c>
      <c r="AE320" s="8">
        <f t="shared" si="12"/>
        <v>2741477</v>
      </c>
      <c r="AF320" s="8"/>
      <c r="AG320" s="55"/>
      <c r="AH320" s="55"/>
      <c r="AI320" s="55"/>
      <c r="AJ320" s="55"/>
      <c r="AK320" s="55"/>
      <c r="AL320" s="8">
        <f>+'Gov Rev'!AI320-'Gov Exp'!AE320+'Gov Exp'!AI320-'Gov Exp'!AK320</f>
        <v>6974</v>
      </c>
      <c r="AM320" s="6" t="str">
        <f>'Gov Rev'!A320</f>
        <v>Lincoln Heights</v>
      </c>
      <c r="AN320" s="6" t="str">
        <f t="shared" si="13"/>
        <v>Lincoln Heights</v>
      </c>
      <c r="AO320" s="6" t="b">
        <f t="shared" si="14"/>
        <v>1</v>
      </c>
    </row>
    <row r="321" spans="1:41" x14ac:dyDescent="0.2">
      <c r="A321" s="6" t="s">
        <v>200</v>
      </c>
      <c r="C321" s="6" t="s">
        <v>487</v>
      </c>
      <c r="E321" s="8">
        <v>81397.02</v>
      </c>
      <c r="G321" s="8">
        <v>268.56</v>
      </c>
      <c r="I321" s="8">
        <v>5636.97</v>
      </c>
      <c r="K321" s="8">
        <v>7000</v>
      </c>
      <c r="M321" s="8">
        <v>3273</v>
      </c>
      <c r="O321" s="8">
        <v>53469.22</v>
      </c>
      <c r="Q321" s="8">
        <v>38964.33</v>
      </c>
      <c r="S321" s="8">
        <v>0</v>
      </c>
      <c r="U321" s="8">
        <v>0</v>
      </c>
      <c r="W321" s="8">
        <v>0</v>
      </c>
      <c r="Y321" s="8">
        <v>0</v>
      </c>
      <c r="AA321" s="8">
        <v>0</v>
      </c>
      <c r="AC321" s="8">
        <v>554</v>
      </c>
      <c r="AE321" s="8">
        <f t="shared" si="12"/>
        <v>190563.10000000003</v>
      </c>
      <c r="AF321" s="8"/>
      <c r="AG321" s="55">
        <v>529402.12</v>
      </c>
      <c r="AH321" s="55"/>
      <c r="AI321" s="55">
        <v>606863.93999999994</v>
      </c>
      <c r="AJ321" s="55"/>
      <c r="AK321" s="55">
        <v>1136266.06</v>
      </c>
      <c r="AL321" s="8">
        <f>+'Gov Rev'!AI321-'Gov Exp'!AE321+'Gov Exp'!AI321-'Gov Exp'!AK321</f>
        <v>0</v>
      </c>
      <c r="AM321" s="6" t="str">
        <f>'Gov Rev'!A321</f>
        <v>Lindsey</v>
      </c>
      <c r="AN321" s="6" t="str">
        <f t="shared" si="13"/>
        <v>Lindsey</v>
      </c>
      <c r="AO321" s="6" t="b">
        <f t="shared" si="14"/>
        <v>1</v>
      </c>
    </row>
    <row r="322" spans="1:41" x14ac:dyDescent="0.2">
      <c r="A322" s="6" t="s">
        <v>716</v>
      </c>
      <c r="C322" s="6" t="s">
        <v>293</v>
      </c>
      <c r="E322" s="8">
        <v>447075.76</v>
      </c>
      <c r="G322" s="8">
        <v>0</v>
      </c>
      <c r="I322" s="8">
        <v>144.68</v>
      </c>
      <c r="K322" s="8">
        <v>0</v>
      </c>
      <c r="M322" s="8">
        <v>6853.6</v>
      </c>
      <c r="O322" s="8">
        <v>4513.68</v>
      </c>
      <c r="Q322" s="8">
        <v>333502.25</v>
      </c>
      <c r="S322" s="8">
        <v>3278.45</v>
      </c>
      <c r="U322" s="8">
        <v>0</v>
      </c>
      <c r="W322" s="8">
        <v>0</v>
      </c>
      <c r="Y322" s="8">
        <v>31000</v>
      </c>
      <c r="AA322" s="8">
        <v>33272.32</v>
      </c>
      <c r="AC322" s="8">
        <v>0</v>
      </c>
      <c r="AE322" s="8">
        <f t="shared" si="12"/>
        <v>859640.73999999987</v>
      </c>
      <c r="AF322" s="8"/>
      <c r="AG322" s="55">
        <v>-175216.89</v>
      </c>
      <c r="AH322" s="55"/>
      <c r="AI322" s="55">
        <v>358740.66</v>
      </c>
      <c r="AJ322" s="55"/>
      <c r="AK322" s="55">
        <v>183523.77</v>
      </c>
      <c r="AL322" s="8">
        <f>+'Gov Rev'!AI322-'Gov Exp'!AE322+'Gov Exp'!AI322-'Gov Exp'!AK322</f>
        <v>0</v>
      </c>
      <c r="AM322" s="6" t="str">
        <f>'Gov Rev'!A322</f>
        <v>Linndale</v>
      </c>
      <c r="AN322" s="6" t="str">
        <f t="shared" si="13"/>
        <v>Linndale</v>
      </c>
      <c r="AO322" s="6" t="b">
        <f t="shared" si="14"/>
        <v>1</v>
      </c>
    </row>
    <row r="323" spans="1:41" x14ac:dyDescent="0.2">
      <c r="A323" s="6" t="s">
        <v>42</v>
      </c>
      <c r="C323" s="6" t="s">
        <v>283</v>
      </c>
      <c r="E323" s="8">
        <v>767933.24</v>
      </c>
      <c r="G323" s="8">
        <v>145459.13</v>
      </c>
      <c r="I323" s="8">
        <v>7894.05</v>
      </c>
      <c r="K323" s="8">
        <v>34211.279999999999</v>
      </c>
      <c r="M323" s="8">
        <v>0</v>
      </c>
      <c r="O323" s="8">
        <v>285162.8</v>
      </c>
      <c r="Q323" s="8">
        <v>318774.43</v>
      </c>
      <c r="S323" s="8">
        <v>17757.57</v>
      </c>
      <c r="U323" s="8">
        <v>81535.289999999994</v>
      </c>
      <c r="W323" s="8">
        <v>214608.79</v>
      </c>
      <c r="Y323" s="8">
        <v>257557.24</v>
      </c>
      <c r="AA323" s="8">
        <v>101506</v>
      </c>
      <c r="AC323" s="8">
        <v>0</v>
      </c>
      <c r="AE323" s="8">
        <f t="shared" si="12"/>
        <v>2232399.8200000003</v>
      </c>
      <c r="AF323" s="8"/>
      <c r="AG323" s="55">
        <v>-9221.36</v>
      </c>
      <c r="AH323" s="55"/>
      <c r="AI323" s="55">
        <v>388965.92</v>
      </c>
      <c r="AJ323" s="55"/>
      <c r="AK323" s="55">
        <v>379744.56</v>
      </c>
      <c r="AL323" s="8">
        <f>+'Gov Rev'!AI323-'Gov Exp'!AE323+'Gov Exp'!AI323-'Gov Exp'!AK323</f>
        <v>0</v>
      </c>
      <c r="AM323" s="6" t="str">
        <f>'Gov Rev'!A323</f>
        <v>Lisbon</v>
      </c>
      <c r="AN323" s="6" t="str">
        <f t="shared" si="13"/>
        <v>Lisbon</v>
      </c>
      <c r="AO323" s="6" t="b">
        <f t="shared" si="14"/>
        <v>1</v>
      </c>
    </row>
    <row r="324" spans="1:41" x14ac:dyDescent="0.2">
      <c r="A324" s="6" t="s">
        <v>803</v>
      </c>
      <c r="C324" s="6" t="s">
        <v>329</v>
      </c>
      <c r="E324" s="8">
        <v>1900</v>
      </c>
      <c r="G324" s="8">
        <v>0</v>
      </c>
      <c r="I324" s="8">
        <v>15963.98</v>
      </c>
      <c r="K324" s="8">
        <v>487.82</v>
      </c>
      <c r="M324" s="8">
        <v>19993.73</v>
      </c>
      <c r="O324" s="8">
        <v>85032.72</v>
      </c>
      <c r="Q324" s="8">
        <v>143707.23000000001</v>
      </c>
      <c r="S324" s="8">
        <v>0</v>
      </c>
      <c r="U324" s="8">
        <v>4839.4399999999996</v>
      </c>
      <c r="W324" s="8">
        <v>0</v>
      </c>
      <c r="Y324" s="8">
        <v>0</v>
      </c>
      <c r="AA324" s="8">
        <v>0</v>
      </c>
      <c r="AC324" s="8">
        <v>0</v>
      </c>
      <c r="AE324" s="8">
        <f t="shared" si="12"/>
        <v>271924.92</v>
      </c>
      <c r="AF324" s="8"/>
      <c r="AG324" s="55">
        <v>-139240.04999999999</v>
      </c>
      <c r="AH324" s="55"/>
      <c r="AI324" s="55">
        <v>413124.06</v>
      </c>
      <c r="AJ324" s="55"/>
      <c r="AK324" s="55">
        <v>273884.01</v>
      </c>
      <c r="AL324" s="8">
        <f>+'Gov Rev'!AI324-'Gov Exp'!AE324+'Gov Exp'!AI324-'Gov Exp'!AK324</f>
        <v>0</v>
      </c>
      <c r="AM324" s="6" t="str">
        <f>'Gov Rev'!A324</f>
        <v>Lockbourne</v>
      </c>
      <c r="AN324" s="6" t="str">
        <f t="shared" si="13"/>
        <v>Lockbourne</v>
      </c>
      <c r="AO324" s="6" t="b">
        <f t="shared" si="14"/>
        <v>1</v>
      </c>
    </row>
    <row r="325" spans="1:41" x14ac:dyDescent="0.2">
      <c r="A325" s="6" t="s">
        <v>499</v>
      </c>
      <c r="C325" s="6" t="s">
        <v>498</v>
      </c>
      <c r="E325" s="8">
        <v>103</v>
      </c>
      <c r="G325" s="8">
        <f>55+3173</f>
        <v>3228</v>
      </c>
      <c r="I325" s="8">
        <f>515+2120</f>
        <v>2635</v>
      </c>
      <c r="K325" s="8">
        <v>3004</v>
      </c>
      <c r="M325" s="8">
        <v>0</v>
      </c>
      <c r="O325" s="8">
        <v>45114</v>
      </c>
      <c r="Q325" s="8">
        <f>11117+720</f>
        <v>11837</v>
      </c>
      <c r="S325" s="8">
        <v>0</v>
      </c>
      <c r="U325" s="8">
        <f>1886+1886</f>
        <v>3772</v>
      </c>
      <c r="W325" s="8">
        <v>0</v>
      </c>
      <c r="Y325" s="8">
        <v>0</v>
      </c>
      <c r="AA325" s="8">
        <v>0</v>
      </c>
      <c r="AC325" s="8">
        <v>0</v>
      </c>
      <c r="AE325" s="8">
        <f t="shared" si="12"/>
        <v>69693</v>
      </c>
      <c r="AF325" s="8"/>
      <c r="AG325" s="55"/>
      <c r="AH325" s="55"/>
      <c r="AI325" s="55"/>
      <c r="AJ325" s="55"/>
      <c r="AK325" s="55"/>
      <c r="AL325" s="8">
        <f>+'Gov Rev'!AI325-'Gov Exp'!AE325+'Gov Exp'!AI325-'Gov Exp'!AK325</f>
        <v>-23314</v>
      </c>
      <c r="AM325" s="6" t="str">
        <f>'Gov Rev'!A325</f>
        <v xml:space="preserve">Lockington </v>
      </c>
      <c r="AN325" s="6" t="str">
        <f t="shared" si="13"/>
        <v xml:space="preserve">Lockington </v>
      </c>
      <c r="AO325" s="6" t="b">
        <f t="shared" si="14"/>
        <v>1</v>
      </c>
    </row>
    <row r="326" spans="1:41" x14ac:dyDescent="0.2">
      <c r="A326" s="6" t="s">
        <v>90</v>
      </c>
      <c r="C326" s="6" t="s">
        <v>351</v>
      </c>
      <c r="E326" s="8">
        <v>2546511.4</v>
      </c>
      <c r="G326" s="8">
        <v>27160</v>
      </c>
      <c r="I326" s="8">
        <v>40223.06</v>
      </c>
      <c r="K326" s="8">
        <v>119197.26</v>
      </c>
      <c r="M326" s="8">
        <v>1768845.91</v>
      </c>
      <c r="O326" s="8">
        <v>686910.16</v>
      </c>
      <c r="Q326" s="8">
        <v>1063083.9099999999</v>
      </c>
      <c r="S326" s="8">
        <v>46797.67</v>
      </c>
      <c r="U326" s="8">
        <v>35573.75</v>
      </c>
      <c r="W326" s="8">
        <v>74567.98</v>
      </c>
      <c r="Y326" s="8">
        <v>673507.53</v>
      </c>
      <c r="AA326" s="8">
        <v>0</v>
      </c>
      <c r="AC326" s="8">
        <v>73015.45</v>
      </c>
      <c r="AE326" s="8">
        <f t="shared" si="12"/>
        <v>7155394.080000001</v>
      </c>
      <c r="AF326" s="8"/>
      <c r="AG326" s="55">
        <v>-212374.07</v>
      </c>
      <c r="AH326" s="55"/>
      <c r="AI326" s="55">
        <v>1245783.57</v>
      </c>
      <c r="AJ326" s="55"/>
      <c r="AK326" s="55">
        <v>1033409.5</v>
      </c>
      <c r="AL326" s="8">
        <f>+'Gov Rev'!AI326-'Gov Exp'!AE326+'Gov Exp'!AI326-'Gov Exp'!AK326</f>
        <v>0</v>
      </c>
      <c r="AM326" s="6" t="str">
        <f>'Gov Rev'!A326</f>
        <v>Lockland</v>
      </c>
      <c r="AN326" s="6" t="str">
        <f t="shared" si="13"/>
        <v>Lockland</v>
      </c>
      <c r="AO326" s="6" t="b">
        <f t="shared" si="14"/>
        <v>1</v>
      </c>
    </row>
    <row r="327" spans="1:41" ht="12.75" x14ac:dyDescent="0.2">
      <c r="A327" s="6" t="s">
        <v>822</v>
      </c>
      <c r="C327" s="6" t="s">
        <v>823</v>
      </c>
      <c r="D327" s="11"/>
      <c r="E327" s="8">
        <v>634647</v>
      </c>
      <c r="G327" s="8">
        <v>0</v>
      </c>
      <c r="I327" s="8">
        <v>4880</v>
      </c>
      <c r="K327" s="8">
        <v>7251</v>
      </c>
      <c r="M327" s="8">
        <v>0</v>
      </c>
      <c r="O327" s="8">
        <v>133300</v>
      </c>
      <c r="Q327" s="8">
        <f>208452+303+67</f>
        <v>208822</v>
      </c>
      <c r="S327" s="8">
        <f>23465+19250+54936</f>
        <v>97651</v>
      </c>
      <c r="U327" s="8">
        <v>1420</v>
      </c>
      <c r="W327" s="8">
        <v>0</v>
      </c>
      <c r="Y327" s="8">
        <v>0</v>
      </c>
      <c r="AA327" s="8">
        <v>0</v>
      </c>
      <c r="AC327" s="8">
        <v>0</v>
      </c>
      <c r="AE327" s="8">
        <f t="shared" si="12"/>
        <v>1087971</v>
      </c>
      <c r="AF327" s="8"/>
      <c r="AG327" s="55"/>
      <c r="AH327" s="55"/>
      <c r="AI327" s="55"/>
      <c r="AJ327" s="55"/>
      <c r="AK327" s="55"/>
      <c r="AL327" s="8">
        <f>+'Gov Rev'!AI327-'Gov Exp'!AE327+'Gov Exp'!AI327-'Gov Exp'!AK327</f>
        <v>160668</v>
      </c>
      <c r="AM327" s="6" t="str">
        <f>'Gov Rev'!A327</f>
        <v>Lodi</v>
      </c>
      <c r="AN327" s="6" t="str">
        <f t="shared" si="13"/>
        <v>Lodi</v>
      </c>
      <c r="AO327" s="6" t="b">
        <f t="shared" si="14"/>
        <v>1</v>
      </c>
    </row>
    <row r="328" spans="1:41" x14ac:dyDescent="0.2">
      <c r="A328" s="6" t="s">
        <v>516</v>
      </c>
      <c r="C328" s="6" t="s">
        <v>517</v>
      </c>
      <c r="E328" s="8">
        <v>1678625</v>
      </c>
      <c r="G328" s="8">
        <v>198937</v>
      </c>
      <c r="I328" s="8">
        <v>228401</v>
      </c>
      <c r="K328" s="8">
        <v>338563</v>
      </c>
      <c r="M328" s="8">
        <v>0</v>
      </c>
      <c r="O328" s="8">
        <v>1024314</v>
      </c>
      <c r="Q328" s="8">
        <v>1235374</v>
      </c>
      <c r="S328" s="8">
        <v>467106</v>
      </c>
      <c r="U328" s="8">
        <v>577225</v>
      </c>
      <c r="W328" s="8">
        <v>242018</v>
      </c>
      <c r="Y328" s="8">
        <v>0</v>
      </c>
      <c r="AA328" s="8">
        <v>0</v>
      </c>
      <c r="AC328" s="8">
        <v>0</v>
      </c>
      <c r="AE328" s="8">
        <f t="shared" si="12"/>
        <v>5990563</v>
      </c>
      <c r="AF328" s="8"/>
      <c r="AG328" s="55"/>
      <c r="AH328" s="55"/>
      <c r="AI328" s="55"/>
      <c r="AJ328" s="55"/>
      <c r="AK328" s="55"/>
      <c r="AL328" s="8">
        <f>+'Gov Rev'!AI328-'Gov Exp'!AE328+'Gov Exp'!AI328-'Gov Exp'!AK328</f>
        <v>1104071</v>
      </c>
      <c r="AM328" s="6" t="str">
        <f>'Gov Rev'!A328</f>
        <v>Lordstown</v>
      </c>
      <c r="AN328" s="6" t="str">
        <f t="shared" si="13"/>
        <v>Lordstown</v>
      </c>
      <c r="AO328" s="6" t="b">
        <f t="shared" si="14"/>
        <v>1</v>
      </c>
    </row>
    <row r="329" spans="1:41" x14ac:dyDescent="0.2">
      <c r="A329" s="6" t="s">
        <v>83</v>
      </c>
      <c r="C329" s="6" t="s">
        <v>349</v>
      </c>
      <c r="E329" s="8">
        <v>18576.73</v>
      </c>
      <c r="G329" s="8">
        <v>11.18</v>
      </c>
      <c r="I329" s="8">
        <v>325.52</v>
      </c>
      <c r="K329" s="8">
        <v>0</v>
      </c>
      <c r="M329" s="8">
        <v>0</v>
      </c>
      <c r="O329" s="8">
        <v>20290.29</v>
      </c>
      <c r="Q329" s="8">
        <v>45862.27</v>
      </c>
      <c r="S329" s="8">
        <v>5622.32</v>
      </c>
      <c r="U329" s="8">
        <v>17605</v>
      </c>
      <c r="W329" s="8">
        <v>91.14</v>
      </c>
      <c r="Y329" s="8">
        <v>0</v>
      </c>
      <c r="AA329" s="8">
        <v>0</v>
      </c>
      <c r="AC329" s="8">
        <v>0</v>
      </c>
      <c r="AE329" s="8">
        <f t="shared" si="12"/>
        <v>108384.45</v>
      </c>
      <c r="AF329" s="8"/>
      <c r="AG329" s="55">
        <v>-3090.83</v>
      </c>
      <c r="AH329" s="55"/>
      <c r="AI329" s="55">
        <v>112196.43</v>
      </c>
      <c r="AJ329" s="55"/>
      <c r="AK329" s="55">
        <v>109105.60000000001</v>
      </c>
      <c r="AL329" s="8">
        <f>+'Gov Rev'!AI329-'Gov Exp'!AE329+'Gov Exp'!AI329-'Gov Exp'!AK329</f>
        <v>0</v>
      </c>
      <c r="AM329" s="6" t="str">
        <f>'Gov Rev'!A329</f>
        <v>Lore City</v>
      </c>
      <c r="AN329" s="6" t="str">
        <f t="shared" si="13"/>
        <v>Lore City</v>
      </c>
      <c r="AO329" s="6" t="b">
        <f t="shared" si="14"/>
        <v>1</v>
      </c>
    </row>
    <row r="330" spans="1:41" x14ac:dyDescent="0.2">
      <c r="A330" s="6" t="s">
        <v>786</v>
      </c>
      <c r="C330" s="6" t="s">
        <v>848</v>
      </c>
      <c r="E330" s="8">
        <v>916906.13</v>
      </c>
      <c r="G330" s="8">
        <v>22054.01</v>
      </c>
      <c r="I330" s="8">
        <v>39267.339999999997</v>
      </c>
      <c r="K330" s="8">
        <v>5696</v>
      </c>
      <c r="M330" s="8">
        <v>0</v>
      </c>
      <c r="O330" s="8">
        <v>275250.71000000002</v>
      </c>
      <c r="Q330" s="8">
        <v>312621.84999999998</v>
      </c>
      <c r="S330" s="8">
        <v>111440.14</v>
      </c>
      <c r="U330" s="8">
        <v>89614.44</v>
      </c>
      <c r="W330" s="8">
        <v>9780.4</v>
      </c>
      <c r="Y330" s="8">
        <v>970654.71</v>
      </c>
      <c r="AA330" s="8">
        <v>0</v>
      </c>
      <c r="AC330" s="8">
        <v>0</v>
      </c>
      <c r="AE330" s="8">
        <f t="shared" si="12"/>
        <v>2753285.7299999995</v>
      </c>
      <c r="AF330" s="8"/>
      <c r="AG330" s="55">
        <v>233397.12</v>
      </c>
      <c r="AH330" s="55"/>
      <c r="AI330" s="55">
        <v>670662.71</v>
      </c>
      <c r="AJ330" s="55"/>
      <c r="AK330" s="55">
        <v>904059.83</v>
      </c>
      <c r="AL330" s="8">
        <f>+'Gov Rev'!AI330-'Gov Exp'!AE330+'Gov Exp'!AI330-'Gov Exp'!AK330</f>
        <v>0</v>
      </c>
      <c r="AM330" s="6" t="str">
        <f>'Gov Rev'!A330</f>
        <v>Loudonville</v>
      </c>
      <c r="AN330" s="6" t="str">
        <f t="shared" si="13"/>
        <v>Loudonville</v>
      </c>
      <c r="AO330" s="6" t="b">
        <f t="shared" si="14"/>
        <v>1</v>
      </c>
    </row>
    <row r="331" spans="1:41" x14ac:dyDescent="0.2">
      <c r="AE331" s="8"/>
      <c r="AF331" s="8"/>
      <c r="AG331" s="55"/>
      <c r="AH331" s="55"/>
      <c r="AI331" s="55"/>
      <c r="AJ331" s="55"/>
      <c r="AK331" s="55"/>
      <c r="AL331" s="8"/>
    </row>
    <row r="332" spans="1:41" ht="12.75" x14ac:dyDescent="0.2">
      <c r="AE332" s="88" t="s">
        <v>733</v>
      </c>
      <c r="AF332" s="8"/>
      <c r="AG332" s="55"/>
      <c r="AH332" s="55"/>
      <c r="AI332" s="55"/>
      <c r="AJ332" s="55"/>
      <c r="AK332" s="55"/>
      <c r="AL332" s="8"/>
    </row>
    <row r="333" spans="1:41" x14ac:dyDescent="0.2">
      <c r="AE333" s="8"/>
      <c r="AF333" s="8"/>
      <c r="AG333" s="55"/>
      <c r="AH333" s="55"/>
      <c r="AI333" s="55"/>
      <c r="AJ333" s="55"/>
      <c r="AK333" s="55"/>
      <c r="AL333" s="8"/>
    </row>
    <row r="334" spans="1:41" ht="12" customHeight="1" x14ac:dyDescent="0.2">
      <c r="A334" s="6" t="s">
        <v>228</v>
      </c>
      <c r="C334" s="6" t="s">
        <v>545</v>
      </c>
      <c r="E334" s="54">
        <v>24036.16</v>
      </c>
      <c r="G334" s="18">
        <v>2009.46</v>
      </c>
      <c r="H334" s="18"/>
      <c r="I334" s="18">
        <v>15537.43</v>
      </c>
      <c r="J334" s="18"/>
      <c r="K334" s="18">
        <v>0</v>
      </c>
      <c r="L334" s="18"/>
      <c r="M334" s="18">
        <v>0</v>
      </c>
      <c r="N334" s="18"/>
      <c r="O334" s="18">
        <v>38408.339999999997</v>
      </c>
      <c r="P334" s="18"/>
      <c r="Q334" s="18">
        <v>22879.45</v>
      </c>
      <c r="R334" s="18"/>
      <c r="S334" s="18">
        <v>0</v>
      </c>
      <c r="T334" s="18"/>
      <c r="U334" s="18">
        <v>0</v>
      </c>
      <c r="V334" s="18"/>
      <c r="W334" s="18">
        <v>0</v>
      </c>
      <c r="X334" s="18"/>
      <c r="Y334" s="18">
        <v>0</v>
      </c>
      <c r="Z334" s="18"/>
      <c r="AA334" s="18">
        <v>0</v>
      </c>
      <c r="AB334" s="18"/>
      <c r="AC334" s="18">
        <v>0</v>
      </c>
      <c r="AD334" s="18"/>
      <c r="AE334" s="18">
        <f t="shared" si="12"/>
        <v>102870.84</v>
      </c>
      <c r="AF334" s="18"/>
      <c r="AG334" s="64">
        <v>-8636.0300000000007</v>
      </c>
      <c r="AH334" s="64"/>
      <c r="AI334" s="64">
        <v>76393.61</v>
      </c>
      <c r="AJ334" s="64"/>
      <c r="AK334" s="64">
        <v>67757.58</v>
      </c>
      <c r="AL334" s="8">
        <f>+'Gov Rev'!AI331-'Gov Exp'!AE334+'Gov Exp'!AI334-'Gov Exp'!AK334</f>
        <v>0</v>
      </c>
      <c r="AM334" s="6" t="str">
        <f>'Gov Rev'!A331</f>
        <v>Lowell</v>
      </c>
      <c r="AN334" s="6" t="str">
        <f t="shared" si="13"/>
        <v>Lowell</v>
      </c>
      <c r="AO334" s="6" t="b">
        <f t="shared" si="14"/>
        <v>1</v>
      </c>
    </row>
    <row r="335" spans="1:41" x14ac:dyDescent="0.2">
      <c r="A335" s="6" t="s">
        <v>723</v>
      </c>
      <c r="C335" s="6" t="s">
        <v>429</v>
      </c>
      <c r="E335" s="8">
        <v>382640.1</v>
      </c>
      <c r="G335" s="8">
        <v>4158.63</v>
      </c>
      <c r="I335" s="8">
        <v>0</v>
      </c>
      <c r="K335" s="8">
        <v>4075.56</v>
      </c>
      <c r="M335" s="8">
        <v>1500</v>
      </c>
      <c r="O335" s="8">
        <v>145712.34</v>
      </c>
      <c r="Q335" s="8">
        <v>232421.51</v>
      </c>
      <c r="S335" s="8">
        <v>6130.68</v>
      </c>
      <c r="U335" s="8">
        <v>8270.48</v>
      </c>
      <c r="W335" s="8">
        <v>506.26</v>
      </c>
      <c r="Y335" s="8">
        <v>151000</v>
      </c>
      <c r="AA335" s="8">
        <v>0</v>
      </c>
      <c r="AC335" s="8">
        <v>29714.16</v>
      </c>
      <c r="AE335" s="8">
        <f t="shared" si="12"/>
        <v>966129.72000000009</v>
      </c>
      <c r="AF335" s="8"/>
      <c r="AG335" s="55">
        <v>35572.699999999997</v>
      </c>
      <c r="AH335" s="55"/>
      <c r="AI335" s="55">
        <v>206836.72</v>
      </c>
      <c r="AJ335" s="55"/>
      <c r="AK335" s="55">
        <v>242409.42</v>
      </c>
      <c r="AL335" s="8">
        <f>+'Gov Rev'!AI332-'Gov Exp'!AE335+'Gov Exp'!AI335-'Gov Exp'!AK335</f>
        <v>0</v>
      </c>
      <c r="AM335" s="6" t="str">
        <f>'Gov Rev'!A332</f>
        <v>Lowellville</v>
      </c>
      <c r="AN335" s="6" t="str">
        <f t="shared" si="13"/>
        <v>Lowellville</v>
      </c>
      <c r="AO335" s="6" t="b">
        <f t="shared" si="14"/>
        <v>1</v>
      </c>
    </row>
    <row r="336" spans="1:41" x14ac:dyDescent="0.2">
      <c r="A336" s="6" t="s">
        <v>229</v>
      </c>
      <c r="C336" s="6" t="s">
        <v>545</v>
      </c>
      <c r="E336" s="8">
        <v>3546.86</v>
      </c>
      <c r="G336" s="8">
        <v>309.82</v>
      </c>
      <c r="I336" s="8">
        <v>1164.01</v>
      </c>
      <c r="K336" s="8">
        <v>0</v>
      </c>
      <c r="M336" s="8">
        <v>0</v>
      </c>
      <c r="O336" s="8">
        <v>3829.41</v>
      </c>
      <c r="Q336" s="8">
        <v>19958.11</v>
      </c>
      <c r="S336" s="8">
        <v>0</v>
      </c>
      <c r="U336" s="8">
        <v>0</v>
      </c>
      <c r="W336" s="8">
        <v>0</v>
      </c>
      <c r="Y336" s="8">
        <v>0</v>
      </c>
      <c r="AA336" s="8">
        <v>0</v>
      </c>
      <c r="AC336" s="8">
        <v>0</v>
      </c>
      <c r="AE336" s="8">
        <f t="shared" si="12"/>
        <v>28808.21</v>
      </c>
      <c r="AF336" s="8"/>
      <c r="AG336" s="55">
        <v>-9760.6</v>
      </c>
      <c r="AH336" s="55"/>
      <c r="AI336" s="55">
        <v>20434.73</v>
      </c>
      <c r="AJ336" s="55"/>
      <c r="AK336" s="55">
        <v>10674.13</v>
      </c>
      <c r="AL336" s="8">
        <f>+'Gov Rev'!AI333-'Gov Exp'!AE336+'Gov Exp'!AI336-'Gov Exp'!AK336</f>
        <v>0</v>
      </c>
      <c r="AM336" s="6" t="str">
        <f>'Gov Rev'!A333</f>
        <v>Lower Salem</v>
      </c>
      <c r="AN336" s="6" t="str">
        <f t="shared" si="13"/>
        <v>Lower Salem</v>
      </c>
      <c r="AO336" s="6" t="b">
        <f t="shared" si="14"/>
        <v>1</v>
      </c>
    </row>
    <row r="337" spans="1:41" x14ac:dyDescent="0.2">
      <c r="A337" s="6" t="s">
        <v>423</v>
      </c>
      <c r="C337" s="6" t="s">
        <v>481</v>
      </c>
      <c r="E337" s="8">
        <v>25000</v>
      </c>
      <c r="G337" s="8">
        <v>2304</v>
      </c>
      <c r="I337" s="8">
        <v>0</v>
      </c>
      <c r="K337" s="8">
        <v>17870</v>
      </c>
      <c r="M337" s="8">
        <v>0</v>
      </c>
      <c r="O337" s="8">
        <v>30825</v>
      </c>
      <c r="Q337" s="8">
        <v>43939</v>
      </c>
      <c r="S337" s="8">
        <v>78607</v>
      </c>
      <c r="U337" s="8">
        <v>0</v>
      </c>
      <c r="W337" s="8">
        <v>0</v>
      </c>
      <c r="Y337" s="8">
        <v>40000</v>
      </c>
      <c r="AA337" s="8">
        <v>0</v>
      </c>
      <c r="AC337" s="8">
        <v>0</v>
      </c>
      <c r="AE337" s="8">
        <f t="shared" si="12"/>
        <v>238545</v>
      </c>
      <c r="AF337" s="8"/>
      <c r="AG337" s="55"/>
      <c r="AH337" s="55"/>
      <c r="AI337" s="55"/>
      <c r="AJ337" s="55"/>
      <c r="AK337" s="55"/>
      <c r="AL337" s="8">
        <f>+'Gov Rev'!AI334-'Gov Exp'!AE337+'Gov Exp'!AI337-'Gov Exp'!AK337</f>
        <v>-1655</v>
      </c>
      <c r="AM337" s="6" t="str">
        <f>'Gov Rev'!A334</f>
        <v>Lucas</v>
      </c>
      <c r="AN337" s="6" t="str">
        <f t="shared" si="13"/>
        <v>Lucas</v>
      </c>
      <c r="AO337" s="6" t="b">
        <f t="shared" si="14"/>
        <v>1</v>
      </c>
    </row>
    <row r="338" spans="1:41" x14ac:dyDescent="0.2">
      <c r="A338" s="6" t="s">
        <v>561</v>
      </c>
      <c r="C338" s="6" t="s">
        <v>558</v>
      </c>
      <c r="E338" s="8">
        <v>123275.25</v>
      </c>
      <c r="G338" s="8">
        <v>0</v>
      </c>
      <c r="I338" s="8">
        <v>9438.16</v>
      </c>
      <c r="K338" s="8">
        <v>54131.67</v>
      </c>
      <c r="M338" s="8">
        <v>87138.96</v>
      </c>
      <c r="O338" s="8">
        <v>40949.269999999997</v>
      </c>
      <c r="Q338" s="8">
        <v>92137.97</v>
      </c>
      <c r="S338" s="8">
        <v>1578</v>
      </c>
      <c r="U338" s="8">
        <v>0</v>
      </c>
      <c r="W338" s="8">
        <v>0</v>
      </c>
      <c r="Y338" s="8">
        <v>36902.480000000003</v>
      </c>
      <c r="AA338" s="8">
        <v>0</v>
      </c>
      <c r="AC338" s="8">
        <v>0</v>
      </c>
      <c r="AE338" s="8">
        <f t="shared" si="12"/>
        <v>445551.76</v>
      </c>
      <c r="AF338" s="8"/>
      <c r="AG338" s="55">
        <v>50682.55</v>
      </c>
      <c r="AH338" s="55"/>
      <c r="AI338" s="55">
        <v>345093.3</v>
      </c>
      <c r="AJ338" s="55"/>
      <c r="AK338" s="55">
        <v>395775.85</v>
      </c>
      <c r="AL338" s="8">
        <f>+'Gov Rev'!AI335-'Gov Exp'!AE338+'Gov Exp'!AI338-'Gov Exp'!AK338</f>
        <v>0</v>
      </c>
      <c r="AM338" s="6" t="str">
        <f>'Gov Rev'!A335</f>
        <v>Luckey</v>
      </c>
      <c r="AN338" s="6" t="str">
        <f t="shared" si="13"/>
        <v>Luckey</v>
      </c>
      <c r="AO338" s="6" t="b">
        <f t="shared" si="14"/>
        <v>1</v>
      </c>
    </row>
    <row r="339" spans="1:41" x14ac:dyDescent="0.2">
      <c r="A339" s="6" t="s">
        <v>105</v>
      </c>
      <c r="C339" s="6" t="s">
        <v>379</v>
      </c>
      <c r="E339" s="8">
        <v>120965.35</v>
      </c>
      <c r="G339" s="8">
        <v>4816.8999999999996</v>
      </c>
      <c r="I339" s="8">
        <v>23072.99</v>
      </c>
      <c r="K339" s="8">
        <v>0</v>
      </c>
      <c r="M339" s="8">
        <v>2693.2</v>
      </c>
      <c r="O339" s="8">
        <v>105712.76</v>
      </c>
      <c r="Q339" s="8">
        <v>126405.21</v>
      </c>
      <c r="S339" s="8">
        <v>20503.62</v>
      </c>
      <c r="U339" s="8">
        <v>149829.42000000001</v>
      </c>
      <c r="W339" s="8">
        <v>31759.25</v>
      </c>
      <c r="Y339" s="8">
        <v>232.66</v>
      </c>
      <c r="AA339" s="8">
        <v>0</v>
      </c>
      <c r="AC339" s="8">
        <v>0</v>
      </c>
      <c r="AE339" s="8">
        <f t="shared" si="12"/>
        <v>585991.3600000001</v>
      </c>
      <c r="AF339" s="8"/>
      <c r="AG339" s="55">
        <v>10430.450000000001</v>
      </c>
      <c r="AH339" s="55"/>
      <c r="AI339" s="55">
        <v>276768.34000000003</v>
      </c>
      <c r="AJ339" s="55"/>
      <c r="AK339" s="55">
        <v>287198.78999999998</v>
      </c>
      <c r="AL339" s="8">
        <f>+'Gov Rev'!AI336-'Gov Exp'!AE339+'Gov Exp'!AI339-'Gov Exp'!AK339</f>
        <v>0</v>
      </c>
      <c r="AM339" s="6" t="str">
        <f>'Gov Rev'!A336</f>
        <v>Lynchburg</v>
      </c>
      <c r="AN339" s="6" t="str">
        <f t="shared" si="13"/>
        <v>Lynchburg</v>
      </c>
      <c r="AO339" s="6" t="b">
        <f t="shared" si="14"/>
        <v>1</v>
      </c>
    </row>
    <row r="340" spans="1:41" x14ac:dyDescent="0.2">
      <c r="A340" s="6" t="s">
        <v>73</v>
      </c>
      <c r="C340" s="6" t="s">
        <v>332</v>
      </c>
      <c r="E340" s="8">
        <v>14110.2</v>
      </c>
      <c r="G340" s="8">
        <v>0</v>
      </c>
      <c r="I340" s="8">
        <v>6477.1</v>
      </c>
      <c r="K340" s="8">
        <v>600</v>
      </c>
      <c r="M340" s="8">
        <v>2721.3</v>
      </c>
      <c r="O340" s="8">
        <v>46830.92</v>
      </c>
      <c r="Q340" s="8">
        <v>81776.240000000005</v>
      </c>
      <c r="S340" s="8">
        <v>0</v>
      </c>
      <c r="U340" s="8">
        <v>0</v>
      </c>
      <c r="W340" s="8">
        <v>0</v>
      </c>
      <c r="Y340" s="8">
        <v>500</v>
      </c>
      <c r="AA340" s="8">
        <v>0</v>
      </c>
      <c r="AC340" s="8">
        <v>0</v>
      </c>
      <c r="AE340" s="8">
        <f t="shared" si="12"/>
        <v>153015.76</v>
      </c>
      <c r="AF340" s="8"/>
      <c r="AG340" s="55">
        <v>4876.2</v>
      </c>
      <c r="AH340" s="55"/>
      <c r="AI340" s="55">
        <v>277307.23</v>
      </c>
      <c r="AJ340" s="55"/>
      <c r="AK340" s="55">
        <v>282183.43</v>
      </c>
      <c r="AL340" s="8">
        <f>+'Gov Rev'!AI337-'Gov Exp'!AE340+'Gov Exp'!AI340-'Gov Exp'!AK340</f>
        <v>0</v>
      </c>
      <c r="AM340" s="6" t="str">
        <f>'Gov Rev'!A337</f>
        <v>Lyons</v>
      </c>
      <c r="AN340" s="6" t="str">
        <f t="shared" si="13"/>
        <v>Lyons</v>
      </c>
      <c r="AO340" s="6" t="b">
        <f t="shared" si="14"/>
        <v>1</v>
      </c>
    </row>
    <row r="341" spans="1:41" x14ac:dyDescent="0.2">
      <c r="A341" s="6" t="s">
        <v>401</v>
      </c>
      <c r="C341" s="6" t="s">
        <v>399</v>
      </c>
      <c r="E341" s="8">
        <v>558812.68999999994</v>
      </c>
      <c r="G341" s="8">
        <v>23639.11</v>
      </c>
      <c r="I341" s="8">
        <v>188881.71</v>
      </c>
      <c r="K341" s="8">
        <v>0</v>
      </c>
      <c r="M341" s="8">
        <v>92024.25</v>
      </c>
      <c r="O341" s="8">
        <v>321762.28999999998</v>
      </c>
      <c r="Q341" s="8">
        <v>356582.82</v>
      </c>
      <c r="S341" s="8">
        <v>504695.99</v>
      </c>
      <c r="U341" s="8">
        <v>41201.839999999997</v>
      </c>
      <c r="W341" s="8">
        <v>0</v>
      </c>
      <c r="Y341" s="8">
        <v>201500</v>
      </c>
      <c r="AA341" s="8">
        <v>35000</v>
      </c>
      <c r="AC341" s="8">
        <v>0</v>
      </c>
      <c r="AE341" s="8">
        <f t="shared" si="12"/>
        <v>2324100.7000000002</v>
      </c>
      <c r="AF341" s="8"/>
      <c r="AG341" s="55">
        <v>109152.37</v>
      </c>
      <c r="AH341" s="55"/>
      <c r="AI341" s="55">
        <v>914970.29</v>
      </c>
      <c r="AJ341" s="55"/>
      <c r="AK341" s="55">
        <v>1024122.66</v>
      </c>
      <c r="AL341" s="8">
        <f>+'Gov Rev'!AI338-'Gov Exp'!AE341+'Gov Exp'!AI341-'Gov Exp'!AK341</f>
        <v>0</v>
      </c>
      <c r="AM341" s="6" t="str">
        <f>'Gov Rev'!A338</f>
        <v>Madison</v>
      </c>
      <c r="AN341" s="6" t="str">
        <f t="shared" si="13"/>
        <v>Madison</v>
      </c>
      <c r="AO341" s="6" t="b">
        <f t="shared" si="14"/>
        <v>1</v>
      </c>
    </row>
    <row r="342" spans="1:41" x14ac:dyDescent="0.2">
      <c r="A342" s="6" t="s">
        <v>221</v>
      </c>
      <c r="C342" s="6" t="s">
        <v>531</v>
      </c>
      <c r="E342" s="8">
        <v>3929.74</v>
      </c>
      <c r="G342" s="8">
        <v>4115.8599999999997</v>
      </c>
      <c r="I342" s="8">
        <v>766.83</v>
      </c>
      <c r="K342" s="8">
        <v>0</v>
      </c>
      <c r="M342" s="8">
        <v>0</v>
      </c>
      <c r="O342" s="8">
        <v>41284.949999999997</v>
      </c>
      <c r="Q342" s="8">
        <v>18951.28</v>
      </c>
      <c r="S342" s="8">
        <v>150</v>
      </c>
      <c r="U342" s="8">
        <v>0</v>
      </c>
      <c r="W342" s="8">
        <v>0</v>
      </c>
      <c r="Y342" s="8">
        <v>0</v>
      </c>
      <c r="AA342" s="8">
        <v>0</v>
      </c>
      <c r="AC342" s="8">
        <v>40</v>
      </c>
      <c r="AE342" s="8">
        <f t="shared" si="12"/>
        <v>69238.66</v>
      </c>
      <c r="AF342" s="8"/>
      <c r="AG342" s="55">
        <v>-19744.099999999999</v>
      </c>
      <c r="AH342" s="55"/>
      <c r="AI342" s="55">
        <v>139779.89000000001</v>
      </c>
      <c r="AJ342" s="55"/>
      <c r="AK342" s="55">
        <v>120035.79</v>
      </c>
      <c r="AL342" s="8">
        <f>+'Gov Rev'!AI339-'Gov Exp'!AE342+'Gov Exp'!AI342-'Gov Exp'!AK342</f>
        <v>0</v>
      </c>
      <c r="AM342" s="6" t="str">
        <f>'Gov Rev'!A339</f>
        <v>Magnetic Springs</v>
      </c>
      <c r="AN342" s="6" t="str">
        <f t="shared" si="13"/>
        <v>Magnetic Springs</v>
      </c>
      <c r="AO342" s="6" t="b">
        <f t="shared" si="14"/>
        <v>1</v>
      </c>
    </row>
    <row r="343" spans="1:41" x14ac:dyDescent="0.2">
      <c r="A343" s="8" t="s">
        <v>506</v>
      </c>
      <c r="B343" s="8"/>
      <c r="C343" s="8" t="s">
        <v>502</v>
      </c>
      <c r="D343" s="8"/>
      <c r="E343" s="8">
        <v>258964</v>
      </c>
      <c r="G343" s="8">
        <v>21239</v>
      </c>
      <c r="I343" s="8">
        <v>14694</v>
      </c>
      <c r="K343" s="8">
        <v>0</v>
      </c>
      <c r="M343" s="8">
        <v>10777</v>
      </c>
      <c r="O343" s="8">
        <v>67319</v>
      </c>
      <c r="Q343" s="8">
        <f>130505+30721+10082+29958</f>
        <v>201266</v>
      </c>
      <c r="S343" s="8">
        <v>0</v>
      </c>
      <c r="U343" s="8">
        <f>85601+8741</f>
        <v>94342</v>
      </c>
      <c r="W343" s="8">
        <v>11190</v>
      </c>
      <c r="Y343" s="8">
        <v>227686</v>
      </c>
      <c r="AA343" s="8">
        <v>0</v>
      </c>
      <c r="AC343" s="8">
        <v>0</v>
      </c>
      <c r="AE343" s="8">
        <f t="shared" si="12"/>
        <v>907477</v>
      </c>
      <c r="AF343" s="8"/>
      <c r="AG343" s="55"/>
      <c r="AH343" s="55"/>
      <c r="AI343" s="55"/>
      <c r="AJ343" s="55"/>
      <c r="AK343" s="55"/>
      <c r="AL343" s="8">
        <f>+'Gov Rev'!AI340-'Gov Exp'!AE343+'Gov Exp'!AI343-'Gov Exp'!AK343</f>
        <v>-20819</v>
      </c>
      <c r="AM343" s="6" t="str">
        <f>'Gov Rev'!A340</f>
        <v>Magnolia</v>
      </c>
      <c r="AN343" s="6" t="str">
        <f t="shared" si="13"/>
        <v>Magnolia</v>
      </c>
      <c r="AO343" s="6" t="b">
        <f t="shared" si="14"/>
        <v>1</v>
      </c>
    </row>
    <row r="344" spans="1:41" x14ac:dyDescent="0.2">
      <c r="A344" s="6" t="s">
        <v>225</v>
      </c>
      <c r="C344" s="6" t="s">
        <v>541</v>
      </c>
      <c r="E344" s="8">
        <v>155970.09</v>
      </c>
      <c r="G344" s="8">
        <v>0</v>
      </c>
      <c r="I344" s="8">
        <v>0</v>
      </c>
      <c r="K344" s="8">
        <v>11047.64</v>
      </c>
      <c r="M344" s="8">
        <v>82509.45</v>
      </c>
      <c r="O344" s="8">
        <v>86436.89</v>
      </c>
      <c r="Q344" s="8">
        <v>150032.81</v>
      </c>
      <c r="S344" s="8">
        <v>30736.11</v>
      </c>
      <c r="U344" s="8">
        <v>10550</v>
      </c>
      <c r="W344" s="8">
        <v>2553</v>
      </c>
      <c r="Y344" s="8">
        <v>0</v>
      </c>
      <c r="AA344" s="8">
        <v>0</v>
      </c>
      <c r="AC344" s="8">
        <v>0</v>
      </c>
      <c r="AE344" s="8">
        <f t="shared" ref="AE344:AE411" si="15">SUM(E344:AC344)</f>
        <v>529835.99</v>
      </c>
      <c r="AF344" s="8"/>
      <c r="AG344" s="55">
        <v>84910.3</v>
      </c>
      <c r="AH344" s="55"/>
      <c r="AI344" s="55">
        <v>451737.23</v>
      </c>
      <c r="AJ344" s="55"/>
      <c r="AK344" s="55">
        <v>536647.53</v>
      </c>
      <c r="AL344" s="8">
        <f>+'Gov Rev'!AI344-'Gov Exp'!AE344+'Gov Exp'!AI344-'Gov Exp'!AK344</f>
        <v>0</v>
      </c>
      <c r="AM344" s="6" t="str">
        <f>'Gov Rev'!A344</f>
        <v>Maineville</v>
      </c>
      <c r="AN344" s="6" t="str">
        <f t="shared" ref="AN344:AN411" si="16">A344</f>
        <v>Maineville</v>
      </c>
      <c r="AO344" s="6" t="b">
        <f t="shared" ref="AO344:AO411" si="17">AM344=AN344</f>
        <v>1</v>
      </c>
    </row>
    <row r="345" spans="1:41" x14ac:dyDescent="0.2">
      <c r="A345" s="6" t="s">
        <v>102</v>
      </c>
      <c r="C345" s="6" t="s">
        <v>377</v>
      </c>
      <c r="E345" s="8">
        <v>10260.66</v>
      </c>
      <c r="G345" s="8">
        <v>0</v>
      </c>
      <c r="I345" s="8">
        <v>3535.73</v>
      </c>
      <c r="K345" s="8">
        <v>525</v>
      </c>
      <c r="M345" s="8">
        <v>2056.85</v>
      </c>
      <c r="O345" s="8">
        <v>15469.59</v>
      </c>
      <c r="Q345" s="8">
        <v>56205.49</v>
      </c>
      <c r="S345" s="8">
        <v>30356.43</v>
      </c>
      <c r="U345" s="8">
        <v>0</v>
      </c>
      <c r="W345" s="8">
        <v>0</v>
      </c>
      <c r="Y345" s="8">
        <v>61000</v>
      </c>
      <c r="AA345" s="8">
        <v>0</v>
      </c>
      <c r="AC345" s="8">
        <v>250</v>
      </c>
      <c r="AE345" s="8">
        <f t="shared" si="15"/>
        <v>179659.75</v>
      </c>
      <c r="AF345" s="8"/>
      <c r="AG345" s="55">
        <v>-10719.91</v>
      </c>
      <c r="AH345" s="55"/>
      <c r="AI345" s="55">
        <v>292670.34999999998</v>
      </c>
      <c r="AJ345" s="55"/>
      <c r="AK345" s="55">
        <v>281950.44</v>
      </c>
      <c r="AL345" s="8">
        <f>+'Gov Rev'!AI345-'Gov Exp'!AE345+'Gov Exp'!AI345-'Gov Exp'!AK345</f>
        <v>0</v>
      </c>
      <c r="AM345" s="6" t="str">
        <f>'Gov Rev'!A345</f>
        <v>Malinta</v>
      </c>
      <c r="AN345" s="6" t="str">
        <f t="shared" si="16"/>
        <v>Malinta</v>
      </c>
      <c r="AO345" s="6" t="b">
        <f t="shared" si="17"/>
        <v>1</v>
      </c>
    </row>
    <row r="346" spans="1:41" x14ac:dyDescent="0.2">
      <c r="A346" s="6" t="s">
        <v>804</v>
      </c>
      <c r="C346" s="6" t="s">
        <v>765</v>
      </c>
      <c r="E346" s="8">
        <v>7101.21</v>
      </c>
      <c r="G346" s="8">
        <v>3096.29</v>
      </c>
      <c r="I346" s="8">
        <v>0</v>
      </c>
      <c r="K346" s="8">
        <v>0</v>
      </c>
      <c r="M346" s="8">
        <v>0</v>
      </c>
      <c r="O346" s="8">
        <v>31266.240000000002</v>
      </c>
      <c r="Q346" s="8">
        <v>106137.42</v>
      </c>
      <c r="S346" s="8">
        <v>0</v>
      </c>
      <c r="U346" s="8">
        <v>0</v>
      </c>
      <c r="W346" s="8">
        <v>0</v>
      </c>
      <c r="Y346" s="8">
        <v>0</v>
      </c>
      <c r="AA346" s="8">
        <v>0</v>
      </c>
      <c r="AC346" s="8">
        <v>11.52</v>
      </c>
      <c r="AE346" s="8">
        <f t="shared" si="15"/>
        <v>147612.68</v>
      </c>
      <c r="AF346" s="8"/>
      <c r="AG346" s="55">
        <v>49613.26</v>
      </c>
      <c r="AH346" s="55"/>
      <c r="AI346" s="55">
        <v>159729.75</v>
      </c>
      <c r="AJ346" s="55"/>
      <c r="AK346" s="55">
        <v>209343.01</v>
      </c>
      <c r="AL346" s="8">
        <f>+'Gov Rev'!AI346-'Gov Exp'!AE346+'Gov Exp'!AI346-'Gov Exp'!AK346</f>
        <v>0</v>
      </c>
      <c r="AM346" s="6" t="str">
        <f>'Gov Rev'!A346</f>
        <v>Malta</v>
      </c>
      <c r="AN346" s="6" t="str">
        <f t="shared" si="16"/>
        <v>Malta</v>
      </c>
      <c r="AO346" s="6" t="b">
        <f t="shared" si="17"/>
        <v>1</v>
      </c>
    </row>
    <row r="347" spans="1:41" x14ac:dyDescent="0.2">
      <c r="A347" s="6" t="s">
        <v>29</v>
      </c>
      <c r="C347" s="6" t="s">
        <v>57</v>
      </c>
      <c r="E347" s="8">
        <v>20907.93</v>
      </c>
      <c r="G347" s="8">
        <v>7234.88</v>
      </c>
      <c r="I347" s="8">
        <v>37332.47</v>
      </c>
      <c r="K347" s="8">
        <v>0</v>
      </c>
      <c r="M347" s="8">
        <v>0</v>
      </c>
      <c r="O347" s="8">
        <v>115554.89</v>
      </c>
      <c r="Q347" s="8">
        <v>148456.62</v>
      </c>
      <c r="S347" s="8">
        <v>0</v>
      </c>
      <c r="U347" s="8">
        <v>0</v>
      </c>
      <c r="W347" s="8">
        <v>0</v>
      </c>
      <c r="Y347" s="8">
        <v>52419.4</v>
      </c>
      <c r="AA347" s="8">
        <v>0</v>
      </c>
      <c r="AC347" s="8">
        <v>0</v>
      </c>
      <c r="AE347" s="8">
        <f t="shared" si="15"/>
        <v>381906.19</v>
      </c>
      <c r="AF347" s="8"/>
      <c r="AG347" s="55">
        <v>11068.95</v>
      </c>
      <c r="AH347" s="55"/>
      <c r="AI347" s="55">
        <v>162049.79</v>
      </c>
      <c r="AJ347" s="55"/>
      <c r="AK347" s="55">
        <v>173118.74</v>
      </c>
      <c r="AL347" s="8">
        <f>+'Gov Rev'!AI347-'Gov Exp'!AE347+'Gov Exp'!AI347-'Gov Exp'!AK347</f>
        <v>0</v>
      </c>
      <c r="AM347" s="6" t="str">
        <f>'Gov Rev'!A347</f>
        <v>Malvern</v>
      </c>
      <c r="AN347" s="6" t="str">
        <f t="shared" si="16"/>
        <v>Malvern</v>
      </c>
      <c r="AO347" s="6" t="b">
        <f t="shared" si="17"/>
        <v>1</v>
      </c>
    </row>
    <row r="348" spans="1:41" x14ac:dyDescent="0.2">
      <c r="A348" s="6" t="s">
        <v>791</v>
      </c>
      <c r="C348" s="6" t="s">
        <v>616</v>
      </c>
      <c r="E348" s="8">
        <v>482799.74</v>
      </c>
      <c r="G348" s="8">
        <v>1808.48</v>
      </c>
      <c r="I348" s="8">
        <v>1638.35</v>
      </c>
      <c r="K348" s="8">
        <v>0</v>
      </c>
      <c r="M348" s="8">
        <v>0</v>
      </c>
      <c r="O348" s="8">
        <v>79387.199999999997</v>
      </c>
      <c r="Q348" s="8">
        <v>96184.17</v>
      </c>
      <c r="S348" s="8">
        <v>52783.18</v>
      </c>
      <c r="U348" s="8">
        <v>50183</v>
      </c>
      <c r="W348" s="8">
        <v>4440</v>
      </c>
      <c r="Y348" s="8">
        <v>130000</v>
      </c>
      <c r="AA348" s="8">
        <v>0</v>
      </c>
      <c r="AC348" s="8">
        <v>11807.03</v>
      </c>
      <c r="AE348" s="8">
        <f t="shared" si="15"/>
        <v>911031.15</v>
      </c>
      <c r="AF348" s="8"/>
      <c r="AG348" s="55">
        <v>13983.16</v>
      </c>
      <c r="AH348" s="55"/>
      <c r="AI348" s="55">
        <v>236086.26</v>
      </c>
      <c r="AJ348" s="55"/>
      <c r="AK348" s="55">
        <v>250069.42</v>
      </c>
      <c r="AL348" s="8">
        <f>+'Gov Rev'!AI348-'Gov Exp'!AE348+'Gov Exp'!AI348-'Gov Exp'!AK348</f>
        <v>0</v>
      </c>
      <c r="AM348" s="6" t="str">
        <f>'Gov Rev'!A348</f>
        <v>Manchester</v>
      </c>
      <c r="AN348" s="6" t="str">
        <f t="shared" si="16"/>
        <v>Manchester</v>
      </c>
      <c r="AO348" s="6" t="b">
        <f t="shared" si="17"/>
        <v>1</v>
      </c>
    </row>
    <row r="349" spans="1:41" x14ac:dyDescent="0.2">
      <c r="A349" s="6" t="s">
        <v>180</v>
      </c>
      <c r="C349" s="6" t="s">
        <v>241</v>
      </c>
      <c r="E349" s="8">
        <v>439573.73</v>
      </c>
      <c r="G349" s="8">
        <v>26400.73</v>
      </c>
      <c r="I349" s="8">
        <v>23908.61</v>
      </c>
      <c r="K349" s="8">
        <v>3377.99</v>
      </c>
      <c r="M349" s="8">
        <v>0</v>
      </c>
      <c r="O349" s="8">
        <v>162697.60999999999</v>
      </c>
      <c r="Q349" s="8">
        <v>176123.37</v>
      </c>
      <c r="S349" s="8">
        <v>62649.26</v>
      </c>
      <c r="U349" s="8">
        <v>24203.74</v>
      </c>
      <c r="W349" s="8">
        <v>20076.060000000001</v>
      </c>
      <c r="Y349" s="8">
        <v>61035.63</v>
      </c>
      <c r="AA349" s="8">
        <v>1666.68</v>
      </c>
      <c r="AC349" s="8">
        <v>0</v>
      </c>
      <c r="AE349" s="8">
        <f t="shared" si="15"/>
        <v>1001713.41</v>
      </c>
      <c r="AF349" s="8"/>
      <c r="AG349" s="55">
        <v>92953.79</v>
      </c>
      <c r="AH349" s="55"/>
      <c r="AI349" s="55">
        <v>319908.23</v>
      </c>
      <c r="AJ349" s="55"/>
      <c r="AK349" s="55">
        <v>412862.02</v>
      </c>
      <c r="AL349" s="8">
        <f>+'Gov Rev'!AI349-'Gov Exp'!AE349+'Gov Exp'!AI349-'Gov Exp'!AK349</f>
        <v>0</v>
      </c>
      <c r="AM349" s="6" t="str">
        <f>'Gov Rev'!A349</f>
        <v>Mantua</v>
      </c>
      <c r="AN349" s="6" t="str">
        <f t="shared" si="16"/>
        <v>Mantua</v>
      </c>
      <c r="AO349" s="6" t="b">
        <f t="shared" si="17"/>
        <v>1</v>
      </c>
    </row>
    <row r="350" spans="1:41" x14ac:dyDescent="0.2">
      <c r="A350" s="6" t="s">
        <v>68</v>
      </c>
      <c r="C350" s="6" t="s">
        <v>329</v>
      </c>
      <c r="E350" s="8">
        <v>432476.25</v>
      </c>
      <c r="G350" s="8">
        <v>8851.2999999999993</v>
      </c>
      <c r="I350" s="8">
        <v>42867.06</v>
      </c>
      <c r="K350" s="8">
        <v>788</v>
      </c>
      <c r="M350" s="8">
        <v>74927.61</v>
      </c>
      <c r="O350" s="8">
        <v>30529.599999999999</v>
      </c>
      <c r="Q350" s="8">
        <v>316652.79999999999</v>
      </c>
      <c r="S350" s="8">
        <v>48992.68</v>
      </c>
      <c r="U350" s="8">
        <v>101934.76</v>
      </c>
      <c r="W350" s="8">
        <v>31897.83</v>
      </c>
      <c r="Y350" s="8">
        <v>149092.59</v>
      </c>
      <c r="AA350" s="8">
        <v>0</v>
      </c>
      <c r="AC350" s="8">
        <v>0</v>
      </c>
      <c r="AE350" s="8">
        <f t="shared" si="15"/>
        <v>1239010.48</v>
      </c>
      <c r="AF350" s="8"/>
      <c r="AG350" s="55">
        <v>274241.06</v>
      </c>
      <c r="AH350" s="55"/>
      <c r="AI350" s="55">
        <v>2879697.44</v>
      </c>
      <c r="AJ350" s="55"/>
      <c r="AK350" s="55">
        <v>3153938.5</v>
      </c>
      <c r="AL350" s="8">
        <f>+'Gov Rev'!AI350-'Gov Exp'!AE350+'Gov Exp'!AI350-'Gov Exp'!AK350</f>
        <v>0</v>
      </c>
      <c r="AM350" s="6" t="str">
        <f>'Gov Rev'!A350</f>
        <v>Marble Cliff</v>
      </c>
      <c r="AN350" s="6" t="str">
        <f t="shared" si="16"/>
        <v>Marble Cliff</v>
      </c>
      <c r="AO350" s="6" t="b">
        <f t="shared" si="17"/>
        <v>1</v>
      </c>
    </row>
    <row r="351" spans="1:41" x14ac:dyDescent="0.2">
      <c r="A351" s="6" t="s">
        <v>711</v>
      </c>
      <c r="C351" s="6" t="s">
        <v>192</v>
      </c>
      <c r="E351" s="8">
        <v>442582.07</v>
      </c>
      <c r="G351" s="8">
        <v>19497.05</v>
      </c>
      <c r="I351" s="8">
        <v>24348.57</v>
      </c>
      <c r="K351" s="8">
        <v>19710.900000000001</v>
      </c>
      <c r="M351" s="8">
        <v>0</v>
      </c>
      <c r="O351" s="8">
        <v>181815.96</v>
      </c>
      <c r="Q351" s="8">
        <v>128718.69</v>
      </c>
      <c r="S351" s="8">
        <v>5611.36</v>
      </c>
      <c r="U351" s="8">
        <v>10000</v>
      </c>
      <c r="W351" s="8">
        <v>10759</v>
      </c>
      <c r="Y351" s="8">
        <v>0</v>
      </c>
      <c r="AA351" s="8">
        <v>0</v>
      </c>
      <c r="AC351" s="8">
        <v>2861.46</v>
      </c>
      <c r="AE351" s="8">
        <f t="shared" si="15"/>
        <v>845905.05999999994</v>
      </c>
      <c r="AF351" s="8"/>
      <c r="AG351" s="55">
        <v>-30075.46</v>
      </c>
      <c r="AH351" s="55"/>
      <c r="AI351" s="55">
        <v>1782653.46</v>
      </c>
      <c r="AJ351" s="55"/>
      <c r="AK351" s="55">
        <v>1752578</v>
      </c>
      <c r="AL351" s="8">
        <f>+'Gov Rev'!AI351-'Gov Exp'!AE351+'Gov Exp'!AI351-'Gov Exp'!AK351</f>
        <v>0</v>
      </c>
      <c r="AM351" s="6" t="str">
        <f>'Gov Rev'!A351</f>
        <v>Marblehead</v>
      </c>
      <c r="AN351" s="6" t="str">
        <f t="shared" si="16"/>
        <v>Marblehead</v>
      </c>
      <c r="AO351" s="6" t="b">
        <f t="shared" si="17"/>
        <v>1</v>
      </c>
    </row>
    <row r="352" spans="1:41" x14ac:dyDescent="0.2">
      <c r="A352" s="6" t="s">
        <v>159</v>
      </c>
      <c r="C352" s="6" t="s">
        <v>226</v>
      </c>
      <c r="E352" s="8">
        <v>0</v>
      </c>
      <c r="G352" s="8">
        <v>0</v>
      </c>
      <c r="I352" s="8">
        <v>0</v>
      </c>
      <c r="K352" s="8">
        <v>0</v>
      </c>
      <c r="M352" s="8">
        <v>0</v>
      </c>
      <c r="O352" s="8">
        <v>14508.86</v>
      </c>
      <c r="Q352" s="8">
        <v>25018.1</v>
      </c>
      <c r="S352" s="8">
        <v>700</v>
      </c>
      <c r="U352" s="8">
        <v>0</v>
      </c>
      <c r="W352" s="8">
        <v>0</v>
      </c>
      <c r="Y352" s="8">
        <v>0</v>
      </c>
      <c r="AA352" s="8">
        <v>0</v>
      </c>
      <c r="AC352" s="8">
        <v>0</v>
      </c>
      <c r="AE352" s="8">
        <f t="shared" si="15"/>
        <v>40226.959999999999</v>
      </c>
      <c r="AF352" s="8"/>
      <c r="AG352" s="55">
        <v>7191.56</v>
      </c>
      <c r="AH352" s="55"/>
      <c r="AI352" s="55">
        <v>67816.5</v>
      </c>
      <c r="AJ352" s="55"/>
      <c r="AK352" s="55">
        <v>75008.06</v>
      </c>
      <c r="AL352" s="8">
        <f>+'Gov Rev'!AI352-'Gov Exp'!AE352+'Gov Exp'!AI352-'Gov Exp'!AK352</f>
        <v>0</v>
      </c>
      <c r="AM352" s="6" t="str">
        <f>'Gov Rev'!A352</f>
        <v>Marengo</v>
      </c>
      <c r="AN352" s="6" t="str">
        <f t="shared" si="16"/>
        <v>Marengo</v>
      </c>
      <c r="AO352" s="6" t="b">
        <f t="shared" si="17"/>
        <v>1</v>
      </c>
    </row>
    <row r="353" spans="1:41" x14ac:dyDescent="0.2">
      <c r="A353" s="6" t="s">
        <v>835</v>
      </c>
      <c r="C353" s="6" t="s">
        <v>566</v>
      </c>
      <c r="E353" s="8">
        <v>1781</v>
      </c>
      <c r="G353" s="8">
        <v>265</v>
      </c>
      <c r="I353" s="8">
        <v>0</v>
      </c>
      <c r="K353" s="8">
        <v>4212</v>
      </c>
      <c r="M353" s="8">
        <v>944</v>
      </c>
      <c r="O353" s="8">
        <f>177+300</f>
        <v>477</v>
      </c>
      <c r="Q353" s="8">
        <f>396+375+520+150+1131+230+17+58</f>
        <v>2877</v>
      </c>
      <c r="S353" s="8">
        <v>0</v>
      </c>
      <c r="U353" s="8">
        <v>0</v>
      </c>
      <c r="W353" s="8">
        <v>0</v>
      </c>
      <c r="Y353" s="8">
        <v>0</v>
      </c>
      <c r="AA353" s="8">
        <v>0</v>
      </c>
      <c r="AC353" s="8">
        <v>0</v>
      </c>
      <c r="AE353" s="8">
        <f t="shared" si="15"/>
        <v>10556</v>
      </c>
      <c r="AF353" s="8"/>
      <c r="AG353" s="55"/>
      <c r="AH353" s="55"/>
      <c r="AI353" s="55"/>
      <c r="AJ353" s="55"/>
      <c r="AK353" s="55"/>
      <c r="AL353" s="8">
        <f>+'Gov Rev'!AI353-'Gov Exp'!AE353+'Gov Exp'!AI353-'Gov Exp'!AK353</f>
        <v>2366</v>
      </c>
      <c r="AM353" s="6" t="str">
        <f>'Gov Rev'!A353</f>
        <v>Marseilles</v>
      </c>
      <c r="AN353" s="6" t="str">
        <f t="shared" si="16"/>
        <v>Marseilles</v>
      </c>
      <c r="AO353" s="6" t="b">
        <f t="shared" si="17"/>
        <v>1</v>
      </c>
    </row>
    <row r="354" spans="1:41" x14ac:dyDescent="0.2">
      <c r="A354" s="6" t="s">
        <v>632</v>
      </c>
      <c r="C354" s="6" t="s">
        <v>547</v>
      </c>
      <c r="E354" s="8">
        <v>152018</v>
      </c>
      <c r="G354" s="8">
        <v>1200</v>
      </c>
      <c r="I354" s="8">
        <v>8382</v>
      </c>
      <c r="K354" s="8">
        <v>0</v>
      </c>
      <c r="M354" s="8">
        <v>0</v>
      </c>
      <c r="O354" s="8">
        <v>64650</v>
      </c>
      <c r="Q354" s="8">
        <v>61897</v>
      </c>
      <c r="S354" s="8">
        <v>9086</v>
      </c>
      <c r="U354" s="8">
        <v>0</v>
      </c>
      <c r="W354" s="8">
        <v>0</v>
      </c>
      <c r="Y354" s="8">
        <v>52772</v>
      </c>
      <c r="AA354" s="8">
        <v>0</v>
      </c>
      <c r="AC354" s="8">
        <v>1375</v>
      </c>
      <c r="AE354" s="8">
        <f t="shared" si="15"/>
        <v>351380</v>
      </c>
      <c r="AF354" s="8"/>
      <c r="AG354" s="55"/>
      <c r="AH354" s="55"/>
      <c r="AI354" s="55"/>
      <c r="AJ354" s="55"/>
      <c r="AK354" s="55"/>
      <c r="AL354" s="8">
        <f>+'Gov Rev'!AI354-'Gov Exp'!AE354+'Gov Exp'!AI354-'Gov Exp'!AK354</f>
        <v>-50285</v>
      </c>
      <c r="AM354" s="6" t="str">
        <f>'Gov Rev'!A354</f>
        <v>Marshallville</v>
      </c>
      <c r="AN354" s="6" t="str">
        <f t="shared" si="16"/>
        <v>Marshallville</v>
      </c>
      <c r="AO354" s="6" t="b">
        <f t="shared" si="17"/>
        <v>1</v>
      </c>
    </row>
    <row r="355" spans="1:41" x14ac:dyDescent="0.2">
      <c r="A355" s="6" t="s">
        <v>115</v>
      </c>
      <c r="C355" s="6" t="s">
        <v>396</v>
      </c>
      <c r="E355" s="8">
        <v>890</v>
      </c>
      <c r="G355" s="8">
        <v>3259.2</v>
      </c>
      <c r="I355" s="8">
        <v>2050.89</v>
      </c>
      <c r="K355" s="8">
        <v>0</v>
      </c>
      <c r="M355" s="8">
        <v>375</v>
      </c>
      <c r="O355" s="8">
        <v>2270.39</v>
      </c>
      <c r="Q355" s="8">
        <v>21753.53</v>
      </c>
      <c r="S355" s="8">
        <v>0</v>
      </c>
      <c r="U355" s="8">
        <v>0</v>
      </c>
      <c r="W355" s="8">
        <v>0</v>
      </c>
      <c r="Y355" s="8">
        <v>0</v>
      </c>
      <c r="AA355" s="8">
        <v>0</v>
      </c>
      <c r="AC355" s="8">
        <v>0</v>
      </c>
      <c r="AE355" s="8">
        <f t="shared" si="15"/>
        <v>30599.01</v>
      </c>
      <c r="AF355" s="8"/>
      <c r="AG355" s="55">
        <v>-898.62</v>
      </c>
      <c r="AH355" s="55"/>
      <c r="AI355" s="55">
        <v>6844.5</v>
      </c>
      <c r="AJ355" s="55"/>
      <c r="AK355" s="55">
        <v>5945.88</v>
      </c>
      <c r="AL355" s="8">
        <f>+'Gov Rev'!AI355-'Gov Exp'!AE355+'Gov Exp'!AI355-'Gov Exp'!AK355</f>
        <v>0</v>
      </c>
      <c r="AM355" s="6" t="str">
        <f>'Gov Rev'!A355</f>
        <v>Martinsburg</v>
      </c>
      <c r="AN355" s="6" t="str">
        <f t="shared" si="16"/>
        <v>Martinsburg</v>
      </c>
      <c r="AO355" s="6" t="b">
        <f t="shared" si="17"/>
        <v>1</v>
      </c>
    </row>
    <row r="356" spans="1:41" x14ac:dyDescent="0.2">
      <c r="A356" s="6" t="s">
        <v>230</v>
      </c>
      <c r="C356" s="6" t="s">
        <v>545</v>
      </c>
      <c r="E356" s="8">
        <v>59103.15</v>
      </c>
      <c r="G356" s="8">
        <v>2020.68</v>
      </c>
      <c r="I356" s="8">
        <v>2227.8000000000002</v>
      </c>
      <c r="K356" s="8">
        <v>0</v>
      </c>
      <c r="M356" s="8">
        <v>11270.62</v>
      </c>
      <c r="O356" s="8">
        <v>45316.44</v>
      </c>
      <c r="Q356" s="8">
        <v>37362.71</v>
      </c>
      <c r="S356" s="8">
        <v>1125.99</v>
      </c>
      <c r="U356" s="8">
        <v>0</v>
      </c>
      <c r="W356" s="8">
        <v>0</v>
      </c>
      <c r="Y356" s="8">
        <v>0</v>
      </c>
      <c r="AA356" s="8">
        <v>0</v>
      </c>
      <c r="AC356" s="8">
        <v>0</v>
      </c>
      <c r="AE356" s="8">
        <f t="shared" si="15"/>
        <v>158427.38999999998</v>
      </c>
      <c r="AF356" s="8"/>
      <c r="AG356" s="55">
        <v>14949.2</v>
      </c>
      <c r="AH356" s="55"/>
      <c r="AI356" s="55">
        <v>85412.32</v>
      </c>
      <c r="AJ356" s="55"/>
      <c r="AK356" s="55">
        <v>100361.52</v>
      </c>
      <c r="AL356" s="8">
        <f>+'Gov Rev'!AI356-'Gov Exp'!AE356+'Gov Exp'!AI356-'Gov Exp'!AK356</f>
        <v>0</v>
      </c>
      <c r="AM356" s="6" t="str">
        <f>'Gov Rev'!A356</f>
        <v>Matamoras</v>
      </c>
      <c r="AN356" s="6" t="str">
        <f t="shared" si="16"/>
        <v>Matamoras</v>
      </c>
      <c r="AO356" s="6" t="b">
        <f t="shared" si="17"/>
        <v>1</v>
      </c>
    </row>
    <row r="357" spans="1:41" x14ac:dyDescent="0.2">
      <c r="A357" s="6" t="s">
        <v>299</v>
      </c>
      <c r="C357" s="6" t="s">
        <v>293</v>
      </c>
      <c r="E357" s="8">
        <v>5484662</v>
      </c>
      <c r="G357" s="8">
        <v>14779</v>
      </c>
      <c r="I357" s="8">
        <v>961797</v>
      </c>
      <c r="K357" s="8">
        <v>351270</v>
      </c>
      <c r="M357" s="8">
        <v>219638</v>
      </c>
      <c r="O357" s="8">
        <v>2326161</v>
      </c>
      <c r="Q357" s="8">
        <v>2746827</v>
      </c>
      <c r="S357" s="8">
        <v>2251040</v>
      </c>
      <c r="U357" s="8">
        <v>3675140</v>
      </c>
      <c r="W357" s="8">
        <v>327462</v>
      </c>
      <c r="Y357" s="8">
        <v>2841444</v>
      </c>
      <c r="AA357" s="8">
        <v>1067418</v>
      </c>
      <c r="AC357" s="8">
        <v>0</v>
      </c>
      <c r="AE357" s="8">
        <f t="shared" si="15"/>
        <v>22267638</v>
      </c>
      <c r="AF357" s="8"/>
      <c r="AG357" s="55"/>
      <c r="AH357" s="55"/>
      <c r="AI357" s="55"/>
      <c r="AJ357" s="55"/>
      <c r="AK357" s="55"/>
      <c r="AL357" s="8">
        <f>+'Gov Rev'!AI357-'Gov Exp'!AE357+'Gov Exp'!AI357-'Gov Exp'!AK357</f>
        <v>4167770</v>
      </c>
      <c r="AM357" s="6" t="str">
        <f>'Gov Rev'!A357</f>
        <v>Mayfield</v>
      </c>
      <c r="AN357" s="6" t="str">
        <f t="shared" si="16"/>
        <v>Mayfield</v>
      </c>
      <c r="AO357" s="6" t="b">
        <f t="shared" si="17"/>
        <v>1</v>
      </c>
    </row>
    <row r="358" spans="1:41" x14ac:dyDescent="0.2">
      <c r="A358" s="6" t="s">
        <v>857</v>
      </c>
      <c r="C358" s="6" t="s">
        <v>77</v>
      </c>
      <c r="E358" s="8">
        <v>312951.73</v>
      </c>
      <c r="G358" s="8">
        <v>525.61</v>
      </c>
      <c r="I358" s="8">
        <v>29752.35</v>
      </c>
      <c r="K358" s="8">
        <v>0</v>
      </c>
      <c r="M358" s="8">
        <v>0</v>
      </c>
      <c r="O358" s="8">
        <v>116749.35</v>
      </c>
      <c r="Q358" s="8">
        <v>122885.66</v>
      </c>
      <c r="S358" s="8">
        <v>0</v>
      </c>
      <c r="U358" s="8">
        <v>1059.4000000000001</v>
      </c>
      <c r="W358" s="8">
        <v>117.71</v>
      </c>
      <c r="Y358" s="8">
        <v>32974.65</v>
      </c>
      <c r="AA358" s="8">
        <v>5000</v>
      </c>
      <c r="AC358" s="8">
        <v>804.92</v>
      </c>
      <c r="AE358" s="8">
        <f t="shared" si="15"/>
        <v>622821.38</v>
      </c>
      <c r="AF358" s="8"/>
      <c r="AG358" s="55">
        <v>113155.06</v>
      </c>
      <c r="AH358" s="55"/>
      <c r="AI358" s="55">
        <v>419107.88</v>
      </c>
      <c r="AJ358" s="55"/>
      <c r="AK358" s="55">
        <v>532262.93999999994</v>
      </c>
      <c r="AL358" s="8">
        <f>+'Gov Rev'!AI358-'Gov Exp'!AE358+'Gov Exp'!AI358-'Gov Exp'!AK358</f>
        <v>0</v>
      </c>
      <c r="AM358" s="6" t="str">
        <f>'Gov Rev'!A358</f>
        <v>Mcarthur</v>
      </c>
      <c r="AN358" s="6" t="str">
        <f t="shared" si="16"/>
        <v>Mcarthur</v>
      </c>
      <c r="AO358" s="6" t="b">
        <f t="shared" si="17"/>
        <v>1</v>
      </c>
    </row>
    <row r="359" spans="1:41" x14ac:dyDescent="0.2">
      <c r="A359" s="6" t="s">
        <v>103</v>
      </c>
      <c r="C359" s="6" t="s">
        <v>377</v>
      </c>
      <c r="E359" s="8">
        <v>11513.88</v>
      </c>
      <c r="G359" s="8">
        <v>0</v>
      </c>
      <c r="I359" s="8">
        <v>683</v>
      </c>
      <c r="K359" s="8">
        <v>0</v>
      </c>
      <c r="M359" s="8">
        <v>0</v>
      </c>
      <c r="O359" s="8">
        <v>26109.25</v>
      </c>
      <c r="Q359" s="8">
        <v>63593.36</v>
      </c>
      <c r="S359" s="8">
        <v>573.5</v>
      </c>
      <c r="U359" s="8">
        <v>5039.91</v>
      </c>
      <c r="W359" s="8">
        <v>3505.29</v>
      </c>
      <c r="Y359" s="8">
        <v>0</v>
      </c>
      <c r="AA359" s="8">
        <v>0</v>
      </c>
      <c r="AC359" s="8">
        <v>0</v>
      </c>
      <c r="AE359" s="8">
        <f t="shared" si="15"/>
        <v>111018.18999999999</v>
      </c>
      <c r="AF359" s="8"/>
      <c r="AG359" s="55">
        <v>69083.539999999994</v>
      </c>
      <c r="AH359" s="55"/>
      <c r="AI359" s="55">
        <v>193235.23</v>
      </c>
      <c r="AJ359" s="55"/>
      <c r="AK359" s="55">
        <v>262318.77</v>
      </c>
      <c r="AL359" s="8">
        <f>+'Gov Rev'!AI359-'Gov Exp'!AE359+'Gov Exp'!AI359-'Gov Exp'!AK359</f>
        <v>0</v>
      </c>
      <c r="AM359" s="6" t="str">
        <f>'Gov Rev'!A359</f>
        <v>Mcclure</v>
      </c>
      <c r="AN359" s="6" t="str">
        <f t="shared" si="16"/>
        <v>Mcclure</v>
      </c>
      <c r="AO359" s="6" t="b">
        <f t="shared" si="17"/>
        <v>1</v>
      </c>
    </row>
    <row r="360" spans="1:41" x14ac:dyDescent="0.2">
      <c r="A360" s="6" t="s">
        <v>361</v>
      </c>
      <c r="C360" s="6" t="s">
        <v>360</v>
      </c>
      <c r="E360" s="8">
        <v>283623</v>
      </c>
      <c r="G360" s="8">
        <v>0</v>
      </c>
      <c r="I360" s="8">
        <v>136096</v>
      </c>
      <c r="K360" s="8">
        <v>5671</v>
      </c>
      <c r="M360" s="8">
        <v>53563</v>
      </c>
      <c r="O360" s="8">
        <v>130114</v>
      </c>
      <c r="Q360" s="8">
        <v>881169</v>
      </c>
      <c r="S360" s="8">
        <v>108366</v>
      </c>
      <c r="U360" s="8">
        <v>48659</v>
      </c>
      <c r="W360" s="8">
        <v>12489</v>
      </c>
      <c r="Y360" s="8">
        <v>360000</v>
      </c>
      <c r="AA360" s="8">
        <v>0</v>
      </c>
      <c r="AC360" s="8">
        <v>0</v>
      </c>
      <c r="AE360" s="8">
        <f t="shared" si="15"/>
        <v>2019750</v>
      </c>
      <c r="AF360" s="8"/>
      <c r="AG360" s="55"/>
      <c r="AH360" s="55"/>
      <c r="AI360" s="55"/>
      <c r="AJ360" s="55"/>
      <c r="AK360" s="55"/>
      <c r="AL360" s="8">
        <f>+'Gov Rev'!AI360-'Gov Exp'!AE360+'Gov Exp'!AI360-'Gov Exp'!AK360</f>
        <v>-701370</v>
      </c>
      <c r="AM360" s="6" t="str">
        <f>'Gov Rev'!A360</f>
        <v>McComb</v>
      </c>
      <c r="AN360" s="6" t="str">
        <f t="shared" si="16"/>
        <v>McComb</v>
      </c>
      <c r="AO360" s="6" t="b">
        <f t="shared" si="17"/>
        <v>1</v>
      </c>
    </row>
    <row r="361" spans="1:41" x14ac:dyDescent="0.2">
      <c r="A361" s="6" t="s">
        <v>154</v>
      </c>
      <c r="C361" s="6" t="s">
        <v>765</v>
      </c>
      <c r="E361" s="8">
        <v>297436.18</v>
      </c>
      <c r="G361" s="8">
        <v>10064.41</v>
      </c>
      <c r="I361" s="8">
        <v>51560.19</v>
      </c>
      <c r="K361" s="8">
        <v>0</v>
      </c>
      <c r="M361" s="8">
        <v>0</v>
      </c>
      <c r="O361" s="8">
        <v>83589.759999999995</v>
      </c>
      <c r="Q361" s="8">
        <v>195789.4</v>
      </c>
      <c r="S361" s="8">
        <v>236352.33</v>
      </c>
      <c r="U361" s="8">
        <v>3956.03</v>
      </c>
      <c r="W361" s="8">
        <v>347.41</v>
      </c>
      <c r="Y361" s="8">
        <v>0</v>
      </c>
      <c r="AA361" s="8">
        <v>0</v>
      </c>
      <c r="AC361" s="8">
        <v>0</v>
      </c>
      <c r="AE361" s="8">
        <f t="shared" si="15"/>
        <v>879095.71</v>
      </c>
      <c r="AF361" s="8"/>
      <c r="AG361" s="55">
        <v>375581.16</v>
      </c>
      <c r="AH361" s="55"/>
      <c r="AI361" s="55">
        <v>374836.23</v>
      </c>
      <c r="AJ361" s="55"/>
      <c r="AK361" s="55">
        <v>750417.39</v>
      </c>
      <c r="AL361" s="8">
        <f>+'Gov Rev'!AI361-'Gov Exp'!AE361+'Gov Exp'!AI361-'Gov Exp'!AK361</f>
        <v>0</v>
      </c>
      <c r="AM361" s="6" t="str">
        <f>'Gov Rev'!A361</f>
        <v>Mcconnelsville</v>
      </c>
      <c r="AN361" s="6" t="str">
        <f t="shared" si="16"/>
        <v>Mcconnelsville</v>
      </c>
      <c r="AO361" s="6" t="b">
        <f t="shared" si="17"/>
        <v>1</v>
      </c>
    </row>
    <row r="362" spans="1:41" x14ac:dyDescent="0.2">
      <c r="A362" s="6" t="s">
        <v>519</v>
      </c>
      <c r="C362" s="6" t="s">
        <v>518</v>
      </c>
      <c r="E362" s="8">
        <v>544187</v>
      </c>
      <c r="G362" s="8">
        <v>4824</v>
      </c>
      <c r="I362" s="8">
        <v>24740</v>
      </c>
      <c r="K362" s="8">
        <v>6825</v>
      </c>
      <c r="M362" s="8">
        <v>135000</v>
      </c>
      <c r="O362" s="8">
        <v>238642</v>
      </c>
      <c r="Q362" s="8">
        <v>399297</v>
      </c>
      <c r="S362" s="8">
        <v>395815</v>
      </c>
      <c r="U362" s="8">
        <v>0</v>
      </c>
      <c r="W362" s="8">
        <v>0</v>
      </c>
      <c r="Y362" s="8">
        <v>0</v>
      </c>
      <c r="AA362" s="8">
        <v>0</v>
      </c>
      <c r="AC362" s="8">
        <v>0</v>
      </c>
      <c r="AE362" s="8">
        <f t="shared" si="15"/>
        <v>1749330</v>
      </c>
      <c r="AF362" s="8"/>
      <c r="AG362" s="55"/>
      <c r="AH362" s="55"/>
      <c r="AI362" s="55"/>
      <c r="AJ362" s="55"/>
      <c r="AK362" s="55"/>
      <c r="AL362" s="8">
        <f>+'Gov Rev'!AI362-'Gov Exp'!AE362+'Gov Exp'!AI362-'Gov Exp'!AK362</f>
        <v>-4704</v>
      </c>
      <c r="AM362" s="6" t="str">
        <f>'Gov Rev'!A362</f>
        <v>McDonald</v>
      </c>
      <c r="AN362" s="6" t="str">
        <f t="shared" si="16"/>
        <v>McDonald</v>
      </c>
      <c r="AO362" s="6" t="b">
        <f t="shared" si="17"/>
        <v>1</v>
      </c>
    </row>
    <row r="363" spans="1:41" x14ac:dyDescent="0.2">
      <c r="A363" s="6" t="s">
        <v>369</v>
      </c>
      <c r="C363" s="6" t="s">
        <v>366</v>
      </c>
      <c r="E363" s="8">
        <f>47189+9048</f>
        <v>56237</v>
      </c>
      <c r="G363" s="8">
        <v>1262</v>
      </c>
      <c r="I363" s="8">
        <v>531</v>
      </c>
      <c r="K363" s="8">
        <v>7245</v>
      </c>
      <c r="M363" s="8">
        <f>2024+5706</f>
        <v>7730</v>
      </c>
      <c r="O363" s="8">
        <f>2240+8794</f>
        <v>11034</v>
      </c>
      <c r="Q363" s="8">
        <v>27548</v>
      </c>
      <c r="S363" s="8">
        <f>2343+3043</f>
        <v>5386</v>
      </c>
      <c r="U363" s="8">
        <v>0</v>
      </c>
      <c r="W363" s="8">
        <v>0</v>
      </c>
      <c r="Y363" s="8">
        <v>0</v>
      </c>
      <c r="AA363" s="8">
        <v>0</v>
      </c>
      <c r="AC363" s="8">
        <v>0</v>
      </c>
      <c r="AE363" s="8">
        <f t="shared" si="15"/>
        <v>116973</v>
      </c>
      <c r="AF363" s="8"/>
      <c r="AG363" s="55"/>
      <c r="AH363" s="55"/>
      <c r="AI363" s="55"/>
      <c r="AJ363" s="55"/>
      <c r="AK363" s="55"/>
      <c r="AL363" s="8">
        <f>+'Gov Rev'!AI363-'Gov Exp'!AE363+'Gov Exp'!AI363-'Gov Exp'!AK363</f>
        <v>16795</v>
      </c>
      <c r="AM363" s="6" t="str">
        <f>'Gov Rev'!A363</f>
        <v>Mcguffey</v>
      </c>
      <c r="AN363" s="6" t="str">
        <f t="shared" si="16"/>
        <v>Mcguffey</v>
      </c>
      <c r="AO363" s="6" t="b">
        <f t="shared" si="17"/>
        <v>1</v>
      </c>
    </row>
    <row r="364" spans="1:41" x14ac:dyDescent="0.2">
      <c r="A364" s="6" t="s">
        <v>268</v>
      </c>
      <c r="C364" s="6" t="s">
        <v>269</v>
      </c>
      <c r="E364" s="8">
        <v>812294.99</v>
      </c>
      <c r="G364" s="8">
        <v>0</v>
      </c>
      <c r="I364" s="8">
        <v>57.26</v>
      </c>
      <c r="K364" s="8">
        <v>0</v>
      </c>
      <c r="M364" s="8">
        <v>0</v>
      </c>
      <c r="O364" s="8">
        <v>62704.09</v>
      </c>
      <c r="Q364" s="8">
        <v>179573.24</v>
      </c>
      <c r="S364" s="8">
        <v>0</v>
      </c>
      <c r="U364" s="8">
        <v>0</v>
      </c>
      <c r="W364" s="8">
        <v>0</v>
      </c>
      <c r="Y364" s="8">
        <v>100137.94</v>
      </c>
      <c r="AA364" s="8">
        <v>0</v>
      </c>
      <c r="AC364" s="8">
        <v>58534.48</v>
      </c>
      <c r="AE364" s="8">
        <f t="shared" si="15"/>
        <v>1213302</v>
      </c>
      <c r="AF364" s="8"/>
      <c r="AG364" s="55">
        <v>127562.26</v>
      </c>
      <c r="AH364" s="55"/>
      <c r="AI364" s="55">
        <v>322584.03000000003</v>
      </c>
      <c r="AJ364" s="55"/>
      <c r="AK364" s="55">
        <v>450146.29</v>
      </c>
      <c r="AL364" s="8">
        <f>+'Gov Rev'!AI364-'Gov Exp'!AE364+'Gov Exp'!AI364-'Gov Exp'!AK364</f>
        <v>0</v>
      </c>
      <c r="AM364" s="6" t="str">
        <f>'Gov Rev'!A364</f>
        <v>Mechanicsburg</v>
      </c>
      <c r="AN364" s="6" t="str">
        <f t="shared" si="16"/>
        <v>Mechanicsburg</v>
      </c>
      <c r="AO364" s="6" t="b">
        <f t="shared" si="17"/>
        <v>1</v>
      </c>
    </row>
    <row r="365" spans="1:41" x14ac:dyDescent="0.2">
      <c r="A365" s="6" t="s">
        <v>171</v>
      </c>
      <c r="C365" s="6" t="s">
        <v>460</v>
      </c>
      <c r="E365" s="8">
        <v>12187.71</v>
      </c>
      <c r="G365" s="8">
        <v>0</v>
      </c>
      <c r="I365" s="8">
        <v>450.59</v>
      </c>
      <c r="K365" s="8">
        <v>0</v>
      </c>
      <c r="M365" s="8">
        <v>0</v>
      </c>
      <c r="O365" s="8">
        <v>3781.95</v>
      </c>
      <c r="Q365" s="8">
        <v>20455.38</v>
      </c>
      <c r="S365" s="8">
        <v>0</v>
      </c>
      <c r="U365" s="8">
        <v>0</v>
      </c>
      <c r="W365" s="8">
        <v>0</v>
      </c>
      <c r="Y365" s="8">
        <v>0</v>
      </c>
      <c r="AA365" s="8">
        <v>0</v>
      </c>
      <c r="AC365" s="8">
        <v>0</v>
      </c>
      <c r="AE365" s="8">
        <f t="shared" si="15"/>
        <v>36875.630000000005</v>
      </c>
      <c r="AF365" s="8"/>
      <c r="AG365" s="55">
        <v>19658.79</v>
      </c>
      <c r="AH365" s="55"/>
      <c r="AI365" s="55">
        <v>64270.8</v>
      </c>
      <c r="AJ365" s="55"/>
      <c r="AK365" s="55">
        <v>83929.59</v>
      </c>
      <c r="AL365" s="8">
        <f>+'Gov Rev'!AI365-'Gov Exp'!AE365+'Gov Exp'!AI365-'Gov Exp'!AK365</f>
        <v>0</v>
      </c>
      <c r="AM365" s="6" t="str">
        <f>'Gov Rev'!A365</f>
        <v>Melrose</v>
      </c>
      <c r="AN365" s="6" t="str">
        <f t="shared" si="16"/>
        <v>Melrose</v>
      </c>
      <c r="AO365" s="6" t="b">
        <f t="shared" si="17"/>
        <v>1</v>
      </c>
    </row>
    <row r="366" spans="1:41" x14ac:dyDescent="0.2">
      <c r="A366" s="6" t="s">
        <v>717</v>
      </c>
      <c r="C366" s="6" t="s">
        <v>433</v>
      </c>
      <c r="E366" s="8">
        <v>1650</v>
      </c>
      <c r="G366" s="8">
        <v>10334.18</v>
      </c>
      <c r="I366" s="8">
        <v>1262.26</v>
      </c>
      <c r="K366" s="8">
        <v>0</v>
      </c>
      <c r="M366" s="8">
        <v>854.88</v>
      </c>
      <c r="O366" s="8">
        <v>33539.65</v>
      </c>
      <c r="Q366" s="8">
        <v>26554.81</v>
      </c>
      <c r="S366" s="8">
        <v>1108</v>
      </c>
      <c r="U366" s="8">
        <v>0</v>
      </c>
      <c r="W366" s="8">
        <v>0</v>
      </c>
      <c r="Y366" s="8">
        <v>0</v>
      </c>
      <c r="AA366" s="8">
        <v>0</v>
      </c>
      <c r="AC366" s="8">
        <v>5031.51</v>
      </c>
      <c r="AE366" s="8">
        <f t="shared" si="15"/>
        <v>80335.289999999994</v>
      </c>
      <c r="AF366" s="8"/>
      <c r="AG366" s="55">
        <v>6163.89</v>
      </c>
      <c r="AH366" s="55"/>
      <c r="AI366" s="55">
        <v>66042.95</v>
      </c>
      <c r="AJ366" s="55"/>
      <c r="AK366" s="55">
        <v>72206.84</v>
      </c>
      <c r="AL366" s="8">
        <f>+'Gov Rev'!AI366-'Gov Exp'!AE366+'Gov Exp'!AI366-'Gov Exp'!AK366</f>
        <v>0</v>
      </c>
      <c r="AM366" s="6" t="str">
        <f>'Gov Rev'!A366</f>
        <v>Mendon</v>
      </c>
      <c r="AN366" s="6" t="str">
        <f t="shared" si="16"/>
        <v>Mendon</v>
      </c>
      <c r="AO366" s="6" t="b">
        <f t="shared" si="17"/>
        <v>1</v>
      </c>
    </row>
    <row r="367" spans="1:41" x14ac:dyDescent="0.2">
      <c r="A367" s="6" t="s">
        <v>335</v>
      </c>
      <c r="C367" s="6" t="s">
        <v>332</v>
      </c>
      <c r="E367" s="8">
        <v>14768</v>
      </c>
      <c r="G367" s="8">
        <v>0</v>
      </c>
      <c r="I367" s="8">
        <v>16263</v>
      </c>
      <c r="K367" s="8">
        <v>11744</v>
      </c>
      <c r="M367" s="8">
        <v>0</v>
      </c>
      <c r="O367" s="8">
        <v>16758</v>
      </c>
      <c r="Q367" s="8">
        <v>182362</v>
      </c>
      <c r="S367" s="8">
        <v>149586</v>
      </c>
      <c r="U367" s="8">
        <v>4020</v>
      </c>
      <c r="W367" s="8">
        <v>0</v>
      </c>
      <c r="Y367" s="8">
        <v>85000</v>
      </c>
      <c r="AA367" s="8">
        <v>12000</v>
      </c>
      <c r="AC367" s="8">
        <v>0</v>
      </c>
      <c r="AE367" s="8">
        <f t="shared" si="15"/>
        <v>492501</v>
      </c>
      <c r="AF367" s="8"/>
      <c r="AG367" s="55"/>
      <c r="AH367" s="55"/>
      <c r="AI367" s="55"/>
      <c r="AJ367" s="55"/>
      <c r="AK367" s="55"/>
      <c r="AL367" s="8">
        <f>+'Gov Rev'!AI367-'Gov Exp'!AE367+'Gov Exp'!AI367-'Gov Exp'!AK367</f>
        <v>322954</v>
      </c>
      <c r="AM367" s="6" t="str">
        <f>'Gov Rev'!A367</f>
        <v>Metamora</v>
      </c>
      <c r="AN367" s="6" t="str">
        <f t="shared" si="16"/>
        <v>Metamora</v>
      </c>
      <c r="AO367" s="6" t="b">
        <f t="shared" si="17"/>
        <v>1</v>
      </c>
    </row>
    <row r="368" spans="1:41" x14ac:dyDescent="0.2">
      <c r="A368" s="6" t="s">
        <v>212</v>
      </c>
      <c r="C368" s="6" t="s">
        <v>502</v>
      </c>
      <c r="E368" s="8">
        <v>10602.6</v>
      </c>
      <c r="G368" s="8">
        <v>4854.5</v>
      </c>
      <c r="I368" s="8">
        <v>0</v>
      </c>
      <c r="K368" s="8">
        <v>14943.25</v>
      </c>
      <c r="M368" s="8">
        <v>18860.400000000001</v>
      </c>
      <c r="O368" s="8">
        <v>0</v>
      </c>
      <c r="Q368" s="8">
        <v>60434.57</v>
      </c>
      <c r="S368" s="8">
        <v>280</v>
      </c>
      <c r="U368" s="8">
        <v>0</v>
      </c>
      <c r="W368" s="8">
        <v>0</v>
      </c>
      <c r="Y368" s="8">
        <v>0</v>
      </c>
      <c r="AA368" s="8">
        <v>0</v>
      </c>
      <c r="AC368" s="8">
        <v>252.5</v>
      </c>
      <c r="AE368" s="8">
        <f t="shared" si="15"/>
        <v>110227.82</v>
      </c>
      <c r="AF368" s="8"/>
      <c r="AG368" s="55">
        <v>66835.69</v>
      </c>
      <c r="AH368" s="55"/>
      <c r="AI368" s="55">
        <v>397096.27</v>
      </c>
      <c r="AJ368" s="55"/>
      <c r="AK368" s="55">
        <v>463931.96</v>
      </c>
      <c r="AL368" s="8">
        <f>+'Gov Rev'!AI368-'Gov Exp'!AE368+'Gov Exp'!AI368-'Gov Exp'!AK368</f>
        <v>0</v>
      </c>
      <c r="AM368" s="6" t="str">
        <f>'Gov Rev'!A368</f>
        <v>Meyers Lake</v>
      </c>
      <c r="AN368" s="6" t="str">
        <f t="shared" si="16"/>
        <v>Meyers Lake</v>
      </c>
      <c r="AO368" s="6" t="b">
        <f t="shared" si="17"/>
        <v>1</v>
      </c>
    </row>
    <row r="369" spans="1:41" x14ac:dyDescent="0.2">
      <c r="A369" s="6" t="s">
        <v>805</v>
      </c>
      <c r="C369" s="6" t="s">
        <v>532</v>
      </c>
      <c r="E369" s="8">
        <v>119857.22</v>
      </c>
      <c r="G369" s="8">
        <v>2936.02</v>
      </c>
      <c r="I369" s="8">
        <v>0</v>
      </c>
      <c r="K369" s="8">
        <v>6598.79</v>
      </c>
      <c r="M369" s="8">
        <v>0</v>
      </c>
      <c r="O369" s="8">
        <v>44083.79</v>
      </c>
      <c r="Q369" s="8">
        <v>75248.44</v>
      </c>
      <c r="S369" s="8">
        <v>289963.46000000002</v>
      </c>
      <c r="U369" s="8">
        <v>0</v>
      </c>
      <c r="W369" s="8">
        <v>0</v>
      </c>
      <c r="Y369" s="8">
        <v>0</v>
      </c>
      <c r="AA369" s="8">
        <v>0</v>
      </c>
      <c r="AC369" s="8">
        <v>0</v>
      </c>
      <c r="AE369" s="8">
        <f t="shared" si="15"/>
        <v>538687.72</v>
      </c>
      <c r="AF369" s="8"/>
      <c r="AG369" s="55">
        <v>52811.91</v>
      </c>
      <c r="AH369" s="55"/>
      <c r="AI369" s="55">
        <v>295787.99</v>
      </c>
      <c r="AJ369" s="55"/>
      <c r="AK369" s="55">
        <v>348599.9</v>
      </c>
      <c r="AL369" s="8">
        <f>+'Gov Rev'!AI369-'Gov Exp'!AE369+'Gov Exp'!AI369-'Gov Exp'!AK369</f>
        <v>0</v>
      </c>
      <c r="AM369" s="6" t="str">
        <f>'Gov Rev'!A369</f>
        <v>Middle Point</v>
      </c>
      <c r="AN369" s="6" t="str">
        <f t="shared" si="16"/>
        <v>Middle Point</v>
      </c>
      <c r="AO369" s="6" t="b">
        <f t="shared" si="17"/>
        <v>1</v>
      </c>
    </row>
    <row r="370" spans="1:41" x14ac:dyDescent="0.2">
      <c r="A370" s="6" t="s">
        <v>341</v>
      </c>
      <c r="C370" s="6" t="s">
        <v>342</v>
      </c>
      <c r="E370" s="8">
        <v>987754</v>
      </c>
      <c r="G370" s="8">
        <v>19200</v>
      </c>
      <c r="I370" s="8">
        <v>259578</v>
      </c>
      <c r="K370" s="8">
        <v>67965</v>
      </c>
      <c r="M370" s="8">
        <v>8142</v>
      </c>
      <c r="O370" s="8">
        <v>842904</v>
      </c>
      <c r="Q370" s="8">
        <v>702890</v>
      </c>
      <c r="S370" s="8">
        <v>384308</v>
      </c>
      <c r="U370" s="8">
        <v>976984</v>
      </c>
      <c r="W370" s="8">
        <v>121219</v>
      </c>
      <c r="Y370" s="8">
        <v>141250</v>
      </c>
      <c r="AA370" s="8">
        <v>0</v>
      </c>
      <c r="AC370" s="8">
        <v>0</v>
      </c>
      <c r="AE370" s="8">
        <f t="shared" si="15"/>
        <v>4512194</v>
      </c>
      <c r="AF370" s="8"/>
      <c r="AG370" s="55"/>
      <c r="AH370" s="55"/>
      <c r="AI370" s="55"/>
      <c r="AJ370" s="55"/>
      <c r="AK370" s="55"/>
      <c r="AL370" s="8">
        <f>+'Gov Rev'!AI370-'Gov Exp'!AE370+'Gov Exp'!AI370-'Gov Exp'!AK370</f>
        <v>-837704</v>
      </c>
      <c r="AM370" s="6" t="str">
        <f>'Gov Rev'!A370</f>
        <v>Middlefield</v>
      </c>
      <c r="AN370" s="6" t="str">
        <f t="shared" si="16"/>
        <v>Middlefield</v>
      </c>
      <c r="AO370" s="6" t="b">
        <f t="shared" si="17"/>
        <v>1</v>
      </c>
    </row>
    <row r="371" spans="1:41" x14ac:dyDescent="0.2">
      <c r="A371" s="6" t="s">
        <v>145</v>
      </c>
      <c r="C371" s="6" t="s">
        <v>431</v>
      </c>
      <c r="E371" s="8">
        <v>762365.56</v>
      </c>
      <c r="G371" s="8">
        <v>2075.2199999999998</v>
      </c>
      <c r="I371" s="8">
        <v>39339.39</v>
      </c>
      <c r="K371" s="8">
        <v>0</v>
      </c>
      <c r="M371" s="8">
        <v>179295.06</v>
      </c>
      <c r="O371" s="8">
        <v>118474.67</v>
      </c>
      <c r="Q371" s="8">
        <v>187442.41</v>
      </c>
      <c r="S371" s="8">
        <v>10200.879999999999</v>
      </c>
      <c r="U371" s="8">
        <v>54354.29</v>
      </c>
      <c r="W371" s="8">
        <v>21651.3</v>
      </c>
      <c r="Y371" s="8">
        <v>0</v>
      </c>
      <c r="AA371" s="8">
        <v>0</v>
      </c>
      <c r="AC371" s="8">
        <v>8193.36</v>
      </c>
      <c r="AE371" s="8">
        <f t="shared" si="15"/>
        <v>1383392.14</v>
      </c>
      <c r="AF371" s="8"/>
      <c r="AG371" s="55">
        <v>50841.120000000003</v>
      </c>
      <c r="AH371" s="55"/>
      <c r="AI371" s="55">
        <v>280301.90999999997</v>
      </c>
      <c r="AJ371" s="55"/>
      <c r="AK371" s="55">
        <v>331143.03000000003</v>
      </c>
      <c r="AL371" s="8">
        <f>+'Gov Rev'!AI371-'Gov Exp'!AE371+'Gov Exp'!AI371-'Gov Exp'!AK371</f>
        <v>0</v>
      </c>
      <c r="AM371" s="6" t="str">
        <f>'Gov Rev'!A371</f>
        <v>Middleport</v>
      </c>
      <c r="AN371" s="6" t="str">
        <f t="shared" si="16"/>
        <v>Middleport</v>
      </c>
      <c r="AO371" s="6" t="b">
        <f t="shared" si="17"/>
        <v>1</v>
      </c>
    </row>
    <row r="372" spans="1:41" x14ac:dyDescent="0.2">
      <c r="A372" s="6" t="s">
        <v>772</v>
      </c>
      <c r="C372" s="6" t="s">
        <v>280</v>
      </c>
      <c r="E372" s="8">
        <v>3963.9</v>
      </c>
      <c r="G372" s="8">
        <v>0</v>
      </c>
      <c r="I372" s="8">
        <v>0</v>
      </c>
      <c r="K372" s="8">
        <v>0</v>
      </c>
      <c r="M372" s="8">
        <v>478.67</v>
      </c>
      <c r="O372" s="8">
        <v>112960.83</v>
      </c>
      <c r="Q372" s="8">
        <v>23220.04</v>
      </c>
      <c r="S372" s="8">
        <v>0</v>
      </c>
      <c r="U372" s="8">
        <v>0</v>
      </c>
      <c r="W372" s="8">
        <v>0</v>
      </c>
      <c r="Y372" s="8">
        <v>0</v>
      </c>
      <c r="AA372" s="8">
        <v>0</v>
      </c>
      <c r="AC372" s="8">
        <v>0</v>
      </c>
      <c r="AE372" s="8">
        <f t="shared" si="15"/>
        <v>140623.44</v>
      </c>
      <c r="AF372" s="8"/>
      <c r="AG372" s="55">
        <v>-5740.45</v>
      </c>
      <c r="AH372" s="55"/>
      <c r="AI372" s="55">
        <v>116610.73</v>
      </c>
      <c r="AJ372" s="55"/>
      <c r="AK372" s="55">
        <v>110870.28</v>
      </c>
      <c r="AL372" s="8">
        <f>+'Gov Rev'!AI372-'Gov Exp'!AE372+'Gov Exp'!AI372-'Gov Exp'!AK372</f>
        <v>0</v>
      </c>
      <c r="AM372" s="6" t="str">
        <f>'Gov Rev'!A372</f>
        <v>Midland</v>
      </c>
      <c r="AN372" s="6" t="str">
        <f t="shared" si="16"/>
        <v>Midland</v>
      </c>
      <c r="AO372" s="6" t="b">
        <f t="shared" si="17"/>
        <v>1</v>
      </c>
    </row>
    <row r="373" spans="1:41" x14ac:dyDescent="0.2">
      <c r="A373" s="6" t="s">
        <v>218</v>
      </c>
      <c r="C373" s="6" t="s">
        <v>521</v>
      </c>
      <c r="E373" s="8">
        <v>72675.92</v>
      </c>
      <c r="G373" s="8">
        <v>0</v>
      </c>
      <c r="I373" s="8">
        <v>11692.63</v>
      </c>
      <c r="K373" s="8">
        <v>0</v>
      </c>
      <c r="M373" s="8">
        <v>20782.72</v>
      </c>
      <c r="O373" s="8">
        <v>88648.22</v>
      </c>
      <c r="Q373" s="8">
        <v>141031</v>
      </c>
      <c r="S373" s="8">
        <v>2596</v>
      </c>
      <c r="U373" s="8">
        <v>0</v>
      </c>
      <c r="W373" s="8">
        <v>0</v>
      </c>
      <c r="Y373" s="8">
        <v>0</v>
      </c>
      <c r="AA373" s="8">
        <v>0</v>
      </c>
      <c r="AC373" s="8">
        <v>0</v>
      </c>
      <c r="AE373" s="8">
        <f t="shared" si="15"/>
        <v>337426.49</v>
      </c>
      <c r="AF373" s="8"/>
      <c r="AG373" s="55">
        <v>61381.97</v>
      </c>
      <c r="AH373" s="55"/>
      <c r="AI373" s="55">
        <v>220564.38</v>
      </c>
      <c r="AJ373" s="55"/>
      <c r="AK373" s="55">
        <v>281946.34999999998</v>
      </c>
      <c r="AL373" s="8">
        <f>+'Gov Rev'!AI373-'Gov Exp'!AE373+'Gov Exp'!AI373-'Gov Exp'!AK373</f>
        <v>0</v>
      </c>
      <c r="AM373" s="6" t="str">
        <f>'Gov Rev'!A373</f>
        <v>Midvale</v>
      </c>
      <c r="AN373" s="6" t="str">
        <f t="shared" si="16"/>
        <v>Midvale</v>
      </c>
      <c r="AO373" s="6" t="b">
        <f t="shared" si="17"/>
        <v>1</v>
      </c>
    </row>
    <row r="374" spans="1:41" x14ac:dyDescent="0.2">
      <c r="A374" s="6" t="s">
        <v>426</v>
      </c>
      <c r="C374" s="6" t="s">
        <v>401</v>
      </c>
      <c r="E374" s="8">
        <v>0</v>
      </c>
      <c r="G374" s="8">
        <v>0</v>
      </c>
      <c r="I374" s="8">
        <v>9250</v>
      </c>
      <c r="K374" s="8">
        <v>0</v>
      </c>
      <c r="M374" s="8">
        <v>1941</v>
      </c>
      <c r="O374" s="8">
        <v>18539</v>
      </c>
      <c r="Q374" s="8">
        <v>18573</v>
      </c>
      <c r="S374" s="8">
        <v>0</v>
      </c>
      <c r="U374" s="8">
        <v>0</v>
      </c>
      <c r="W374" s="8">
        <v>0</v>
      </c>
      <c r="Y374" s="8">
        <v>0</v>
      </c>
      <c r="AA374" s="8">
        <v>0</v>
      </c>
      <c r="AC374" s="8">
        <v>0</v>
      </c>
      <c r="AE374" s="8">
        <f t="shared" si="15"/>
        <v>48303</v>
      </c>
      <c r="AF374" s="8"/>
      <c r="AG374" s="55"/>
      <c r="AH374" s="55"/>
      <c r="AI374" s="55"/>
      <c r="AJ374" s="55"/>
      <c r="AK374" s="55"/>
      <c r="AL374" s="8">
        <f>+'Gov Rev'!AI374-'Gov Exp'!AE374+'Gov Exp'!AI374-'Gov Exp'!AK374</f>
        <v>-11594</v>
      </c>
      <c r="AM374" s="6" t="str">
        <f>'Gov Rev'!A374</f>
        <v>Midway</v>
      </c>
      <c r="AN374" s="6" t="str">
        <f t="shared" si="16"/>
        <v>Midway</v>
      </c>
      <c r="AO374" s="6" t="b">
        <f t="shared" si="17"/>
        <v>1</v>
      </c>
    </row>
    <row r="375" spans="1:41" x14ac:dyDescent="0.2">
      <c r="A375" s="6" t="s">
        <v>8</v>
      </c>
      <c r="C375" s="6" t="s">
        <v>848</v>
      </c>
      <c r="E375" s="8">
        <v>19178</v>
      </c>
      <c r="G375" s="8">
        <v>715</v>
      </c>
      <c r="I375" s="8">
        <v>0</v>
      </c>
      <c r="K375" s="8">
        <v>3530</v>
      </c>
      <c r="M375" s="8">
        <v>0</v>
      </c>
      <c r="O375" s="8">
        <v>25486.63</v>
      </c>
      <c r="Q375" s="8">
        <v>24775.919999999998</v>
      </c>
      <c r="S375" s="8">
        <v>0</v>
      </c>
      <c r="U375" s="8">
        <v>0</v>
      </c>
      <c r="W375" s="8">
        <v>0</v>
      </c>
      <c r="Y375" s="8">
        <v>0</v>
      </c>
      <c r="AA375" s="8">
        <v>0</v>
      </c>
      <c r="AC375" s="8">
        <v>0</v>
      </c>
      <c r="AE375" s="8">
        <f t="shared" si="15"/>
        <v>73685.55</v>
      </c>
      <c r="AF375" s="8"/>
      <c r="AG375" s="55">
        <v>-25305.29</v>
      </c>
      <c r="AH375" s="55"/>
      <c r="AI375" s="55">
        <v>80157.929999999993</v>
      </c>
      <c r="AJ375" s="55"/>
      <c r="AK375" s="55">
        <v>54852.639999999999</v>
      </c>
      <c r="AL375" s="8">
        <f>+'Gov Rev'!AI375-'Gov Exp'!AE375+'Gov Exp'!AI375-'Gov Exp'!AK375</f>
        <v>0</v>
      </c>
      <c r="AM375" s="6" t="str">
        <f>'Gov Rev'!A375</f>
        <v>Mifflin</v>
      </c>
      <c r="AN375" s="6" t="str">
        <f t="shared" si="16"/>
        <v>Mifflin</v>
      </c>
      <c r="AO375" s="6" t="b">
        <f t="shared" si="17"/>
        <v>1</v>
      </c>
    </row>
    <row r="376" spans="1:41" x14ac:dyDescent="0.2">
      <c r="A376" s="6" t="s">
        <v>324</v>
      </c>
      <c r="C376" s="6" t="s">
        <v>325</v>
      </c>
      <c r="E376" s="8">
        <v>349067</v>
      </c>
      <c r="G376" s="8">
        <v>0</v>
      </c>
      <c r="I376" s="8">
        <v>187972</v>
      </c>
      <c r="K376" s="8">
        <v>4729</v>
      </c>
      <c r="M376" s="8">
        <v>0</v>
      </c>
      <c r="O376" s="8">
        <v>188048</v>
      </c>
      <c r="Q376" s="8">
        <v>104572</v>
      </c>
      <c r="S376" s="8">
        <v>18738</v>
      </c>
      <c r="U376" s="8">
        <v>4000</v>
      </c>
      <c r="W376" s="8">
        <v>2280</v>
      </c>
      <c r="Y376" s="8">
        <v>21909</v>
      </c>
      <c r="AA376" s="8">
        <v>0</v>
      </c>
      <c r="AC376" s="8">
        <v>0</v>
      </c>
      <c r="AE376" s="8">
        <f t="shared" si="15"/>
        <v>881315</v>
      </c>
      <c r="AF376" s="8"/>
      <c r="AG376" s="55"/>
      <c r="AH376" s="55"/>
      <c r="AI376" s="55"/>
      <c r="AJ376" s="55"/>
      <c r="AK376" s="55"/>
      <c r="AL376" s="8">
        <f>+'Gov Rev'!AI376-'Gov Exp'!AE376+'Gov Exp'!AI376-'Gov Exp'!AK376</f>
        <v>101627</v>
      </c>
      <c r="AM376" s="6" t="str">
        <f>'Gov Rev'!A376</f>
        <v>Milan</v>
      </c>
      <c r="AN376" s="6" t="str">
        <f t="shared" si="16"/>
        <v>Milan</v>
      </c>
      <c r="AO376" s="6" t="b">
        <f t="shared" si="17"/>
        <v>1</v>
      </c>
    </row>
    <row r="377" spans="1:41" x14ac:dyDescent="0.2">
      <c r="A377" s="6" t="s">
        <v>222</v>
      </c>
      <c r="C377" s="6" t="s">
        <v>531</v>
      </c>
      <c r="E377" s="8">
        <v>8985.5300000000007</v>
      </c>
      <c r="G377" s="8">
        <v>0</v>
      </c>
      <c r="I377" s="8">
        <v>2615.52</v>
      </c>
      <c r="K377" s="8">
        <v>6600.95</v>
      </c>
      <c r="M377" s="8">
        <v>16560.41</v>
      </c>
      <c r="O377" s="8">
        <v>8732.9</v>
      </c>
      <c r="Q377" s="8">
        <v>48175.32</v>
      </c>
      <c r="S377" s="8">
        <v>0</v>
      </c>
      <c r="U377" s="8">
        <v>0</v>
      </c>
      <c r="W377" s="8">
        <v>7005.8</v>
      </c>
      <c r="Y377" s="8">
        <v>0</v>
      </c>
      <c r="AA377" s="8">
        <v>0</v>
      </c>
      <c r="AC377" s="8">
        <v>0</v>
      </c>
      <c r="AE377" s="8">
        <f t="shared" si="15"/>
        <v>98676.430000000008</v>
      </c>
      <c r="AF377" s="8"/>
      <c r="AG377" s="55">
        <v>120263.39</v>
      </c>
      <c r="AH377" s="55"/>
      <c r="AI377" s="55">
        <v>183285.66</v>
      </c>
      <c r="AJ377" s="55"/>
      <c r="AK377" s="55">
        <v>303549.05</v>
      </c>
      <c r="AL377" s="8">
        <f>+'Gov Rev'!AI377-'Gov Exp'!AE377+'Gov Exp'!AI377-'Gov Exp'!AK377</f>
        <v>0</v>
      </c>
      <c r="AM377" s="6" t="str">
        <f>'Gov Rev'!A377</f>
        <v>Milford Center</v>
      </c>
      <c r="AN377" s="6" t="str">
        <f t="shared" si="16"/>
        <v>Milford Center</v>
      </c>
      <c r="AO377" s="6" t="b">
        <f t="shared" si="17"/>
        <v>1</v>
      </c>
    </row>
    <row r="378" spans="1:41" x14ac:dyDescent="0.2">
      <c r="A378" s="6" t="s">
        <v>240</v>
      </c>
      <c r="C378" s="6" t="s">
        <v>558</v>
      </c>
      <c r="E378" s="8">
        <v>80304.039999999994</v>
      </c>
      <c r="G378" s="8">
        <v>0</v>
      </c>
      <c r="I378" s="8">
        <v>24386.59</v>
      </c>
      <c r="K378" s="8">
        <v>4177.3100000000004</v>
      </c>
      <c r="M378" s="8">
        <v>69646.47</v>
      </c>
      <c r="O378" s="8">
        <v>84333.72</v>
      </c>
      <c r="Q378" s="8">
        <v>97349.06</v>
      </c>
      <c r="S378" s="8">
        <v>24032.93</v>
      </c>
      <c r="U378" s="8">
        <v>20452.95</v>
      </c>
      <c r="W378" s="8">
        <v>0</v>
      </c>
      <c r="Y378" s="8">
        <v>118799.44</v>
      </c>
      <c r="AA378" s="8">
        <v>0</v>
      </c>
      <c r="AC378" s="8">
        <v>0</v>
      </c>
      <c r="AE378" s="8">
        <f t="shared" si="15"/>
        <v>523482.51</v>
      </c>
      <c r="AF378" s="8"/>
      <c r="AG378" s="55">
        <v>42937.51</v>
      </c>
      <c r="AH378" s="55"/>
      <c r="AI378" s="55">
        <v>508069.34</v>
      </c>
      <c r="AJ378" s="55"/>
      <c r="AK378" s="55">
        <v>551006.85</v>
      </c>
      <c r="AL378" s="8">
        <f>+'Gov Rev'!AI378-'Gov Exp'!AE378+'Gov Exp'!AI378-'Gov Exp'!AK378</f>
        <v>0</v>
      </c>
      <c r="AM378" s="6" t="str">
        <f>'Gov Rev'!A378</f>
        <v>Millbury</v>
      </c>
      <c r="AN378" s="6" t="str">
        <f t="shared" si="16"/>
        <v>Millbury</v>
      </c>
      <c r="AO378" s="6" t="b">
        <f t="shared" si="17"/>
        <v>1</v>
      </c>
    </row>
    <row r="379" spans="1:41" x14ac:dyDescent="0.2">
      <c r="A379" s="6" t="s">
        <v>65</v>
      </c>
      <c r="C379" s="6" t="s">
        <v>334</v>
      </c>
      <c r="E379" s="8">
        <v>4022.24</v>
      </c>
      <c r="G379" s="8">
        <v>0</v>
      </c>
      <c r="I379" s="8">
        <v>0</v>
      </c>
      <c r="K379" s="8">
        <v>0</v>
      </c>
      <c r="M379" s="8">
        <v>2524.96</v>
      </c>
      <c r="O379" s="8">
        <v>2945.89</v>
      </c>
      <c r="Q379" s="8">
        <v>10249.66</v>
      </c>
      <c r="S379" s="8">
        <v>0</v>
      </c>
      <c r="U379" s="8">
        <v>0</v>
      </c>
      <c r="W379" s="8">
        <v>0</v>
      </c>
      <c r="Y379" s="8">
        <v>0</v>
      </c>
      <c r="AA379" s="8">
        <v>0</v>
      </c>
      <c r="AC379" s="8">
        <v>0</v>
      </c>
      <c r="AE379" s="8">
        <f t="shared" si="15"/>
        <v>19742.75</v>
      </c>
      <c r="AF379" s="8"/>
      <c r="AG379" s="55">
        <v>1407.81</v>
      </c>
      <c r="AH379" s="55"/>
      <c r="AI379" s="55">
        <v>15257.68</v>
      </c>
      <c r="AJ379" s="55"/>
      <c r="AK379" s="55">
        <v>16665.490000000002</v>
      </c>
      <c r="AL379" s="8">
        <f>+'Gov Rev'!AI379-'Gov Exp'!AE379+'Gov Exp'!AI379-'Gov Exp'!AK379</f>
        <v>0</v>
      </c>
      <c r="AM379" s="6" t="str">
        <f>'Gov Rev'!A379</f>
        <v>Milledgeville</v>
      </c>
      <c r="AN379" s="6" t="str">
        <f t="shared" si="16"/>
        <v>Milledgeville</v>
      </c>
      <c r="AO379" s="6" t="b">
        <f t="shared" si="17"/>
        <v>1</v>
      </c>
    </row>
    <row r="380" spans="1:41" x14ac:dyDescent="0.2">
      <c r="A380" s="6" t="s">
        <v>191</v>
      </c>
      <c r="C380" s="6" t="s">
        <v>476</v>
      </c>
      <c r="E380" s="8">
        <v>4301.8</v>
      </c>
      <c r="G380" s="8">
        <v>0</v>
      </c>
      <c r="I380" s="8">
        <v>0</v>
      </c>
      <c r="K380" s="8">
        <v>309.14</v>
      </c>
      <c r="M380" s="8">
        <v>4149.96</v>
      </c>
      <c r="O380" s="8">
        <v>8840</v>
      </c>
      <c r="Q380" s="8">
        <v>22558.09</v>
      </c>
      <c r="S380" s="8">
        <v>0</v>
      </c>
      <c r="U380" s="8">
        <v>12119.7</v>
      </c>
      <c r="W380" s="8">
        <v>2639.06</v>
      </c>
      <c r="Y380" s="8">
        <v>10000</v>
      </c>
      <c r="AA380" s="8">
        <v>0</v>
      </c>
      <c r="AC380" s="8">
        <v>1156.9000000000001</v>
      </c>
      <c r="AE380" s="8">
        <f t="shared" si="15"/>
        <v>66074.649999999994</v>
      </c>
      <c r="AF380" s="8"/>
      <c r="AG380" s="55">
        <v>42030.39</v>
      </c>
      <c r="AH380" s="55"/>
      <c r="AI380" s="55">
        <v>247344.89</v>
      </c>
      <c r="AJ380" s="55"/>
      <c r="AK380" s="55">
        <v>289375.28000000003</v>
      </c>
      <c r="AL380" s="8">
        <f>+'Gov Rev'!AI380-'Gov Exp'!AE380+'Gov Exp'!AI380-'Gov Exp'!AK380</f>
        <v>0</v>
      </c>
      <c r="AM380" s="6" t="str">
        <f>'Gov Rev'!A380</f>
        <v>Miller City</v>
      </c>
      <c r="AN380" s="6" t="str">
        <f t="shared" si="16"/>
        <v>Miller City</v>
      </c>
      <c r="AO380" s="6" t="b">
        <f t="shared" si="17"/>
        <v>1</v>
      </c>
    </row>
    <row r="381" spans="1:41" x14ac:dyDescent="0.2">
      <c r="A381" s="6" t="s">
        <v>384</v>
      </c>
      <c r="C381" s="6" t="s">
        <v>382</v>
      </c>
      <c r="E381" s="8">
        <v>646004.56999999995</v>
      </c>
      <c r="G381" s="8">
        <v>47659.72</v>
      </c>
      <c r="I381" s="8">
        <v>56330.66</v>
      </c>
      <c r="K381" s="8">
        <v>46109.31</v>
      </c>
      <c r="M381" s="8">
        <v>0</v>
      </c>
      <c r="O381" s="8">
        <v>333130.3</v>
      </c>
      <c r="Q381" s="8">
        <v>296602.82</v>
      </c>
      <c r="S381" s="8">
        <v>295752.32000000001</v>
      </c>
      <c r="U381" s="8">
        <v>3318.94</v>
      </c>
      <c r="W381" s="8">
        <v>0</v>
      </c>
      <c r="Y381" s="8">
        <v>90000</v>
      </c>
      <c r="AA381" s="8">
        <v>0</v>
      </c>
      <c r="AC381" s="8">
        <v>0</v>
      </c>
      <c r="AE381" s="8">
        <f t="shared" si="15"/>
        <v>1814908.6400000001</v>
      </c>
      <c r="AF381" s="8"/>
      <c r="AG381" s="55">
        <v>861157.48</v>
      </c>
      <c r="AH381" s="55"/>
      <c r="AI381" s="55">
        <v>973744.4</v>
      </c>
      <c r="AJ381" s="55"/>
      <c r="AK381" s="55">
        <v>1834901.88</v>
      </c>
      <c r="AL381" s="8">
        <f>+'Gov Rev'!AI381-'Gov Exp'!AE381+'Gov Exp'!AI381-'Gov Exp'!AK381</f>
        <v>0</v>
      </c>
      <c r="AM381" s="6" t="str">
        <f>'Gov Rev'!A381</f>
        <v>Millersburg</v>
      </c>
      <c r="AN381" s="6" t="str">
        <f t="shared" si="16"/>
        <v>Millersburg</v>
      </c>
      <c r="AO381" s="6" t="b">
        <f t="shared" si="17"/>
        <v>1</v>
      </c>
    </row>
    <row r="382" spans="1:41" x14ac:dyDescent="0.2">
      <c r="A382" s="6" t="s">
        <v>58</v>
      </c>
      <c r="C382" s="6" t="s">
        <v>327</v>
      </c>
      <c r="E382" s="8">
        <v>792017.8</v>
      </c>
      <c r="G382" s="8">
        <v>4965.6000000000004</v>
      </c>
      <c r="I382" s="8">
        <v>47265.05</v>
      </c>
      <c r="K382" s="8">
        <v>0</v>
      </c>
      <c r="M382" s="8">
        <v>0</v>
      </c>
      <c r="O382" s="8">
        <v>205907.85</v>
      </c>
      <c r="Q382" s="8">
        <v>73416.36</v>
      </c>
      <c r="S382" s="8">
        <v>114015.29</v>
      </c>
      <c r="U382" s="8">
        <v>151186.23000000001</v>
      </c>
      <c r="W382" s="8">
        <v>31135.17</v>
      </c>
      <c r="Y382" s="8">
        <v>0</v>
      </c>
      <c r="AA382" s="8">
        <v>0</v>
      </c>
      <c r="AC382" s="8">
        <v>0</v>
      </c>
      <c r="AE382" s="8">
        <f t="shared" si="15"/>
        <v>1419909.35</v>
      </c>
      <c r="AF382" s="8"/>
      <c r="AG382" s="55">
        <v>-126183.49</v>
      </c>
      <c r="AH382" s="55"/>
      <c r="AI382" s="55">
        <v>476934.8</v>
      </c>
      <c r="AJ382" s="55"/>
      <c r="AK382" s="55">
        <v>350751.31</v>
      </c>
      <c r="AL382" s="8">
        <f>+'Gov Rev'!AI382-'Gov Exp'!AE382+'Gov Exp'!AI382-'Gov Exp'!AK382</f>
        <v>0</v>
      </c>
      <c r="AM382" s="6" t="str">
        <f>'Gov Rev'!A382</f>
        <v>Millersport</v>
      </c>
      <c r="AN382" s="6" t="str">
        <f t="shared" si="16"/>
        <v>Millersport</v>
      </c>
      <c r="AO382" s="6" t="b">
        <f t="shared" si="17"/>
        <v>1</v>
      </c>
    </row>
    <row r="383" spans="1:41" x14ac:dyDescent="0.2">
      <c r="A383" s="6" t="s">
        <v>443</v>
      </c>
      <c r="C383" s="6" t="s">
        <v>441</v>
      </c>
      <c r="E383" s="8">
        <v>920</v>
      </c>
      <c r="G383" s="8">
        <v>145</v>
      </c>
      <c r="I383" s="8">
        <v>0</v>
      </c>
      <c r="K383" s="8">
        <v>0</v>
      </c>
      <c r="M383" s="8">
        <v>437</v>
      </c>
      <c r="O383" s="8">
        <v>1012</v>
      </c>
      <c r="Q383" s="8">
        <v>2525</v>
      </c>
      <c r="S383" s="8">
        <v>0</v>
      </c>
      <c r="U383" s="8">
        <v>0</v>
      </c>
      <c r="W383" s="8">
        <v>0</v>
      </c>
      <c r="Y383" s="8">
        <v>0</v>
      </c>
      <c r="AA383" s="8">
        <v>0</v>
      </c>
      <c r="AC383" s="8">
        <v>0</v>
      </c>
      <c r="AE383" s="8">
        <f t="shared" si="15"/>
        <v>5039</v>
      </c>
      <c r="AF383" s="8"/>
      <c r="AG383" s="55"/>
      <c r="AH383" s="55"/>
      <c r="AI383" s="55"/>
      <c r="AJ383" s="55"/>
      <c r="AK383" s="55"/>
      <c r="AL383" s="8">
        <f>+'Gov Rev'!AI383-'Gov Exp'!AE383+'Gov Exp'!AI383-'Gov Exp'!AK383</f>
        <v>2327</v>
      </c>
      <c r="AM383" s="6" t="str">
        <f>'Gov Rev'!A383</f>
        <v>Miltonsburg</v>
      </c>
      <c r="AN383" s="6" t="str">
        <f t="shared" si="16"/>
        <v>Miltonsburg</v>
      </c>
      <c r="AO383" s="6" t="b">
        <f t="shared" si="17"/>
        <v>1</v>
      </c>
    </row>
    <row r="384" spans="1:41" x14ac:dyDescent="0.2">
      <c r="A384" s="6" t="s">
        <v>219</v>
      </c>
      <c r="C384" s="6" t="s">
        <v>521</v>
      </c>
      <c r="E384" s="8">
        <v>17065.47</v>
      </c>
      <c r="G384" s="8">
        <v>233.77</v>
      </c>
      <c r="I384" s="8">
        <v>9844.1299999999992</v>
      </c>
      <c r="K384" s="8">
        <v>3383.45</v>
      </c>
      <c r="M384" s="8">
        <v>20597.38</v>
      </c>
      <c r="O384" s="8">
        <v>23411.87</v>
      </c>
      <c r="Q384" s="8">
        <v>81037.63</v>
      </c>
      <c r="S384" s="8">
        <v>248.12</v>
      </c>
      <c r="U384" s="8">
        <v>19255.5</v>
      </c>
      <c r="W384" s="8">
        <v>7763.42</v>
      </c>
      <c r="Y384" s="8">
        <v>0</v>
      </c>
      <c r="AA384" s="8">
        <v>0</v>
      </c>
      <c r="AC384" s="8">
        <v>156988.57</v>
      </c>
      <c r="AE384" s="8">
        <f t="shared" si="15"/>
        <v>339829.31000000006</v>
      </c>
      <c r="AF384" s="8"/>
      <c r="AG384" s="55">
        <v>1211961.1299999999</v>
      </c>
      <c r="AH384" s="55"/>
      <c r="AI384" s="55">
        <v>333201.18</v>
      </c>
      <c r="AJ384" s="55"/>
      <c r="AK384" s="55">
        <v>1545162.31</v>
      </c>
      <c r="AL384" s="8">
        <f>+'Gov Rev'!AI384-'Gov Exp'!AE384+'Gov Exp'!AI384-'Gov Exp'!AK384</f>
        <v>0</v>
      </c>
      <c r="AM384" s="6" t="str">
        <f>'Gov Rev'!A384</f>
        <v>Mineral City</v>
      </c>
      <c r="AN384" s="6" t="str">
        <f t="shared" si="16"/>
        <v>Mineral City</v>
      </c>
      <c r="AO384" s="6" t="b">
        <f t="shared" si="17"/>
        <v>1</v>
      </c>
    </row>
    <row r="385" spans="1:41" x14ac:dyDescent="0.2">
      <c r="A385" s="6" t="s">
        <v>507</v>
      </c>
      <c r="C385" s="6" t="s">
        <v>502</v>
      </c>
      <c r="E385" s="8">
        <v>1200280</v>
      </c>
      <c r="G385" s="8">
        <v>133949</v>
      </c>
      <c r="I385" s="8">
        <v>136154</v>
      </c>
      <c r="K385" s="8">
        <v>0</v>
      </c>
      <c r="M385" s="8">
        <v>315711</v>
      </c>
      <c r="O385" s="8">
        <v>845620</v>
      </c>
      <c r="Q385" s="8">
        <v>2709102</v>
      </c>
      <c r="S385" s="8">
        <v>0</v>
      </c>
      <c r="U385" s="8">
        <v>0</v>
      </c>
      <c r="W385" s="8">
        <v>0</v>
      </c>
      <c r="Y385" s="8">
        <v>0</v>
      </c>
      <c r="AA385" s="8">
        <v>0</v>
      </c>
      <c r="AC385" s="8">
        <v>320226</v>
      </c>
      <c r="AE385" s="8">
        <f t="shared" si="15"/>
        <v>5661042</v>
      </c>
      <c r="AF385" s="8"/>
      <c r="AG385" s="55"/>
      <c r="AH385" s="55"/>
      <c r="AI385" s="55"/>
      <c r="AJ385" s="55"/>
      <c r="AK385" s="55"/>
      <c r="AL385" s="8">
        <f>+'Gov Rev'!AI385-'Gov Exp'!AE385+'Gov Exp'!AI385-'Gov Exp'!AK385</f>
        <v>-9942</v>
      </c>
      <c r="AM385" s="6" t="str">
        <f>'Gov Rev'!A385</f>
        <v xml:space="preserve">Minerva  </v>
      </c>
      <c r="AN385" s="6" t="str">
        <f t="shared" si="16"/>
        <v xml:space="preserve">Minerva  </v>
      </c>
      <c r="AO385" s="6" t="b">
        <f t="shared" si="17"/>
        <v>1</v>
      </c>
    </row>
    <row r="386" spans="1:41" x14ac:dyDescent="0.2">
      <c r="A386" s="6" t="s">
        <v>69</v>
      </c>
      <c r="C386" s="6" t="s">
        <v>329</v>
      </c>
      <c r="E386" s="8">
        <v>597870.61</v>
      </c>
      <c r="G386" s="8">
        <v>0</v>
      </c>
      <c r="I386" s="8">
        <v>74585.56</v>
      </c>
      <c r="K386" s="8">
        <v>1566.5</v>
      </c>
      <c r="M386" s="8">
        <v>59742.92</v>
      </c>
      <c r="O386" s="8">
        <v>16444.55</v>
      </c>
      <c r="Q386" s="8">
        <v>322778.45</v>
      </c>
      <c r="S386" s="8">
        <v>13198.49</v>
      </c>
      <c r="U386" s="8">
        <v>97587.24</v>
      </c>
      <c r="W386" s="8">
        <v>20253.759999999998</v>
      </c>
      <c r="Y386" s="8">
        <v>0</v>
      </c>
      <c r="AA386" s="8">
        <v>0</v>
      </c>
      <c r="AC386" s="8">
        <v>0</v>
      </c>
      <c r="AE386" s="8">
        <f t="shared" si="15"/>
        <v>1204028.08</v>
      </c>
      <c r="AF386" s="8"/>
      <c r="AG386" s="55">
        <v>63109.07</v>
      </c>
      <c r="AH386" s="55"/>
      <c r="AI386" s="55">
        <v>483073.92</v>
      </c>
      <c r="AJ386" s="55"/>
      <c r="AK386" s="55">
        <v>546182.99</v>
      </c>
      <c r="AL386" s="8">
        <f>+'Gov Rev'!AI386-'Gov Exp'!AE386+'Gov Exp'!AI386-'Gov Exp'!AK386</f>
        <v>0</v>
      </c>
      <c r="AM386" s="6" t="str">
        <f>'Gov Rev'!A386</f>
        <v>Minerva Park</v>
      </c>
      <c r="AN386" s="6" t="str">
        <f t="shared" si="16"/>
        <v>Minerva Park</v>
      </c>
      <c r="AO386" s="6" t="b">
        <f t="shared" si="17"/>
        <v>1</v>
      </c>
    </row>
    <row r="387" spans="1:41" hidden="1" x14ac:dyDescent="0.2">
      <c r="A387" s="6" t="s">
        <v>392</v>
      </c>
      <c r="C387" s="6" t="s">
        <v>390</v>
      </c>
      <c r="E387" s="8">
        <v>0</v>
      </c>
      <c r="G387" s="8">
        <v>0</v>
      </c>
      <c r="I387" s="8">
        <v>0</v>
      </c>
      <c r="K387" s="8">
        <v>0</v>
      </c>
      <c r="M387" s="8">
        <v>0</v>
      </c>
      <c r="O387" s="8">
        <v>0</v>
      </c>
      <c r="Q387" s="8">
        <v>0</v>
      </c>
      <c r="S387" s="8">
        <v>0</v>
      </c>
      <c r="U387" s="8">
        <v>0</v>
      </c>
      <c r="W387" s="8">
        <v>0</v>
      </c>
      <c r="Y387" s="8">
        <v>0</v>
      </c>
      <c r="AA387" s="8">
        <v>0</v>
      </c>
      <c r="AC387" s="8">
        <v>0</v>
      </c>
      <c r="AE387" s="8">
        <f t="shared" si="15"/>
        <v>0</v>
      </c>
      <c r="AF387" s="8"/>
      <c r="AG387" s="55"/>
      <c r="AH387" s="55"/>
      <c r="AI387" s="55"/>
      <c r="AJ387" s="55"/>
      <c r="AK387" s="55"/>
      <c r="AL387" s="8">
        <f>+'Gov Rev'!AI387-'Gov Exp'!AE387+'Gov Exp'!AI387-'Gov Exp'!AK387</f>
        <v>2202238</v>
      </c>
      <c r="AM387" s="6" t="str">
        <f>'Gov Rev'!A387</f>
        <v>Mingo Junction</v>
      </c>
      <c r="AN387" s="6" t="str">
        <f t="shared" si="16"/>
        <v>Mingo Junction</v>
      </c>
      <c r="AO387" s="6" t="b">
        <f t="shared" si="17"/>
        <v>1</v>
      </c>
    </row>
    <row r="388" spans="1:41" x14ac:dyDescent="0.2">
      <c r="A388" s="6" t="s">
        <v>258</v>
      </c>
      <c r="C388" s="6" t="s">
        <v>257</v>
      </c>
      <c r="E388" s="8">
        <v>668054</v>
      </c>
      <c r="G388" s="8">
        <v>0</v>
      </c>
      <c r="I388" s="8">
        <v>193302</v>
      </c>
      <c r="K388" s="8">
        <v>30205</v>
      </c>
      <c r="M388" s="8">
        <v>0</v>
      </c>
      <c r="O388" s="8">
        <v>533894</v>
      </c>
      <c r="Q388" s="8">
        <v>922979</v>
      </c>
      <c r="S388" s="8">
        <v>174155</v>
      </c>
      <c r="U388" s="8">
        <v>29596</v>
      </c>
      <c r="W388" s="8">
        <v>7059</v>
      </c>
      <c r="Y388" s="8">
        <v>3516391</v>
      </c>
      <c r="AA388" s="8">
        <v>0</v>
      </c>
      <c r="AC388" s="8">
        <v>0</v>
      </c>
      <c r="AE388" s="8">
        <f t="shared" si="15"/>
        <v>6075635</v>
      </c>
      <c r="AF388" s="8"/>
      <c r="AG388" s="55"/>
      <c r="AH388" s="55"/>
      <c r="AI388" s="55"/>
      <c r="AJ388" s="55"/>
      <c r="AK388" s="55"/>
      <c r="AL388" s="8">
        <f>+'Gov Rev'!AI388-'Gov Exp'!AE388+'Gov Exp'!AI388-'Gov Exp'!AK388</f>
        <v>995765</v>
      </c>
      <c r="AM388" s="6" t="str">
        <f>'Gov Rev'!A388</f>
        <v>Minster</v>
      </c>
      <c r="AN388" s="6" t="str">
        <f t="shared" si="16"/>
        <v>Minster</v>
      </c>
      <c r="AO388" s="6" t="b">
        <f t="shared" si="17"/>
        <v>1</v>
      </c>
    </row>
    <row r="389" spans="1:41" x14ac:dyDescent="0.2">
      <c r="A389" s="18" t="s">
        <v>512</v>
      </c>
      <c r="B389" s="18"/>
      <c r="C389" s="18" t="s">
        <v>511</v>
      </c>
      <c r="D389" s="18"/>
      <c r="E389" s="8">
        <v>1379852</v>
      </c>
      <c r="G389" s="8">
        <v>52103</v>
      </c>
      <c r="I389" s="8">
        <v>86531</v>
      </c>
      <c r="K389" s="8">
        <v>104600</v>
      </c>
      <c r="M389" s="8">
        <v>27488</v>
      </c>
      <c r="O389" s="8">
        <v>474098</v>
      </c>
      <c r="Q389" s="8">
        <v>561915</v>
      </c>
      <c r="S389" s="8">
        <v>663030</v>
      </c>
      <c r="U389" s="8">
        <v>893500</v>
      </c>
      <c r="W389" s="8">
        <v>18877</v>
      </c>
      <c r="Y389" s="8">
        <v>618000</v>
      </c>
      <c r="AA389" s="8">
        <v>0</v>
      </c>
      <c r="AC389" s="8">
        <v>0</v>
      </c>
      <c r="AE389" s="8">
        <f t="shared" si="15"/>
        <v>4879994</v>
      </c>
      <c r="AF389" s="8"/>
      <c r="AG389" s="55"/>
      <c r="AH389" s="55"/>
      <c r="AI389" s="55"/>
      <c r="AJ389" s="55"/>
      <c r="AK389" s="55"/>
      <c r="AL389" s="8">
        <f>+'Gov Rev'!AI389-'Gov Exp'!AE389+'Gov Exp'!AI389-'Gov Exp'!AK389</f>
        <v>945057</v>
      </c>
      <c r="AM389" s="6" t="str">
        <f>'Gov Rev'!A389</f>
        <v>Mogadore</v>
      </c>
      <c r="AN389" s="6" t="str">
        <f t="shared" si="16"/>
        <v>Mogadore</v>
      </c>
      <c r="AO389" s="6" t="b">
        <f t="shared" si="17"/>
        <v>1</v>
      </c>
    </row>
    <row r="390" spans="1:41" x14ac:dyDescent="0.2">
      <c r="A390" s="6" t="s">
        <v>385</v>
      </c>
      <c r="C390" s="6" t="s">
        <v>386</v>
      </c>
      <c r="E390" s="8">
        <v>347164</v>
      </c>
      <c r="G390" s="8">
        <v>1229</v>
      </c>
      <c r="I390" s="8">
        <v>39341</v>
      </c>
      <c r="K390" s="8">
        <v>52313</v>
      </c>
      <c r="M390" s="8">
        <v>0</v>
      </c>
      <c r="O390" s="8">
        <v>181257</v>
      </c>
      <c r="Q390" s="8">
        <v>135411</v>
      </c>
      <c r="S390" s="8">
        <v>296393</v>
      </c>
      <c r="U390" s="8">
        <v>1750</v>
      </c>
      <c r="W390" s="8">
        <v>0</v>
      </c>
      <c r="Y390" s="8">
        <v>410686</v>
      </c>
      <c r="AA390" s="8">
        <v>3545956</v>
      </c>
      <c r="AC390" s="8">
        <v>0</v>
      </c>
      <c r="AE390" s="8">
        <f t="shared" si="15"/>
        <v>5011500</v>
      </c>
      <c r="AF390" s="8"/>
      <c r="AG390" s="55"/>
      <c r="AH390" s="55"/>
      <c r="AI390" s="55"/>
      <c r="AJ390" s="55"/>
      <c r="AK390" s="55"/>
      <c r="AL390" s="8">
        <f>+'Gov Rev'!AI390-'Gov Exp'!AE390+'Gov Exp'!AI390-'Gov Exp'!AK390</f>
        <v>735758</v>
      </c>
      <c r="AM390" s="6" t="str">
        <f>'Gov Rev'!A390</f>
        <v>Monroeville</v>
      </c>
      <c r="AN390" s="6" t="str">
        <f t="shared" si="16"/>
        <v>Monroeville</v>
      </c>
      <c r="AO390" s="6" t="b">
        <f t="shared" si="17"/>
        <v>1</v>
      </c>
    </row>
    <row r="391" spans="1:41" x14ac:dyDescent="0.2">
      <c r="A391" s="6" t="s">
        <v>148</v>
      </c>
      <c r="C391" s="6" t="s">
        <v>433</v>
      </c>
      <c r="E391" s="8">
        <v>5954.62</v>
      </c>
      <c r="G391" s="8">
        <v>1346.58</v>
      </c>
      <c r="I391" s="8">
        <v>0</v>
      </c>
      <c r="K391" s="8">
        <v>0</v>
      </c>
      <c r="M391" s="8">
        <v>0</v>
      </c>
      <c r="O391" s="8">
        <v>3076.73</v>
      </c>
      <c r="Q391" s="8">
        <v>13060.26</v>
      </c>
      <c r="S391" s="8">
        <v>3000</v>
      </c>
      <c r="U391" s="8">
        <v>0</v>
      </c>
      <c r="W391" s="8">
        <v>0</v>
      </c>
      <c r="Y391" s="8">
        <v>0</v>
      </c>
      <c r="AA391" s="8">
        <v>0</v>
      </c>
      <c r="AC391" s="8">
        <v>0</v>
      </c>
      <c r="AE391" s="8">
        <f t="shared" si="15"/>
        <v>26438.190000000002</v>
      </c>
      <c r="AF391" s="8"/>
      <c r="AG391" s="55">
        <v>6512.14</v>
      </c>
      <c r="AH391" s="55"/>
      <c r="AI391" s="55">
        <v>54191.18</v>
      </c>
      <c r="AJ391" s="55"/>
      <c r="AK391" s="55">
        <v>60703.32</v>
      </c>
      <c r="AL391" s="8">
        <f>+'Gov Rev'!AI391-'Gov Exp'!AE391+'Gov Exp'!AI391-'Gov Exp'!AK391</f>
        <v>0</v>
      </c>
      <c r="AM391" s="6" t="str">
        <f>'Gov Rev'!A391</f>
        <v>Montezuma</v>
      </c>
      <c r="AN391" s="6" t="str">
        <f t="shared" si="16"/>
        <v>Montezuma</v>
      </c>
      <c r="AO391" s="6" t="b">
        <f t="shared" si="17"/>
        <v>1</v>
      </c>
    </row>
    <row r="392" spans="1:41" x14ac:dyDescent="0.2">
      <c r="A392" s="6" t="s">
        <v>555</v>
      </c>
      <c r="C392" s="6" t="s">
        <v>554</v>
      </c>
      <c r="E392" s="8">
        <v>814382</v>
      </c>
      <c r="G392" s="8">
        <v>4251</v>
      </c>
      <c r="I392" s="8">
        <v>235673</v>
      </c>
      <c r="K392" s="8">
        <v>0</v>
      </c>
      <c r="M392" s="8">
        <v>475010</v>
      </c>
      <c r="O392" s="8">
        <v>407601</v>
      </c>
      <c r="Q392" s="8">
        <v>249777</v>
      </c>
      <c r="S392" s="8">
        <v>1051416</v>
      </c>
      <c r="U392" s="8">
        <v>407086</v>
      </c>
      <c r="W392" s="8">
        <v>31850</v>
      </c>
      <c r="Y392" s="8">
        <v>43058</v>
      </c>
      <c r="AA392" s="8">
        <v>0</v>
      </c>
      <c r="AC392" s="8">
        <v>0</v>
      </c>
      <c r="AE392" s="8">
        <f t="shared" si="15"/>
        <v>3720104</v>
      </c>
      <c r="AF392" s="8"/>
      <c r="AG392" s="55"/>
      <c r="AH392" s="55"/>
      <c r="AI392" s="55"/>
      <c r="AJ392" s="55"/>
      <c r="AK392" s="55"/>
      <c r="AL392" s="8">
        <f>+'Gov Rev'!AI392-'Gov Exp'!AE392+'Gov Exp'!AI392-'Gov Exp'!AK392</f>
        <v>15320</v>
      </c>
      <c r="AM392" s="6" t="str">
        <f>'Gov Rev'!A392</f>
        <v>Montpelier</v>
      </c>
      <c r="AN392" s="6" t="str">
        <f t="shared" si="16"/>
        <v>Montpelier</v>
      </c>
      <c r="AO392" s="6" t="b">
        <f t="shared" si="17"/>
        <v>1</v>
      </c>
    </row>
    <row r="393" spans="1:41" x14ac:dyDescent="0.2">
      <c r="A393" s="8" t="s">
        <v>300</v>
      </c>
      <c r="B393" s="8"/>
      <c r="C393" s="8" t="s">
        <v>293</v>
      </c>
      <c r="D393" s="8"/>
      <c r="E393" s="8">
        <v>1915868</v>
      </c>
      <c r="G393" s="8">
        <v>19818</v>
      </c>
      <c r="I393" s="8">
        <v>0</v>
      </c>
      <c r="K393" s="8">
        <v>195277</v>
      </c>
      <c r="M393" s="8">
        <v>1290767</v>
      </c>
      <c r="O393" s="8">
        <v>1197862</v>
      </c>
      <c r="Q393" s="8">
        <v>1438229</v>
      </c>
      <c r="S393" s="8">
        <v>1211962</v>
      </c>
      <c r="U393" s="8">
        <v>143154</v>
      </c>
      <c r="W393" s="8">
        <v>13999</v>
      </c>
      <c r="Y393" s="8">
        <v>2757500</v>
      </c>
      <c r="AA393" s="8">
        <v>219903</v>
      </c>
      <c r="AC393" s="8">
        <v>0</v>
      </c>
      <c r="AE393" s="8">
        <f t="shared" si="15"/>
        <v>10404339</v>
      </c>
      <c r="AF393" s="8"/>
      <c r="AG393" s="55"/>
      <c r="AH393" s="55"/>
      <c r="AI393" s="55"/>
      <c r="AJ393" s="55"/>
      <c r="AK393" s="55"/>
      <c r="AL393" s="8">
        <f>+'Gov Rev'!AI393-'Gov Exp'!AE393+'Gov Exp'!AI393-'Gov Exp'!AK393</f>
        <v>-186966</v>
      </c>
      <c r="AM393" s="6" t="str">
        <f>'Gov Rev'!A393</f>
        <v>Moreland Hills</v>
      </c>
      <c r="AN393" s="6" t="str">
        <f t="shared" si="16"/>
        <v>Moreland Hills</v>
      </c>
      <c r="AO393" s="6" t="b">
        <f t="shared" si="17"/>
        <v>1</v>
      </c>
    </row>
    <row r="394" spans="1:41" x14ac:dyDescent="0.2">
      <c r="A394" s="6" t="s">
        <v>806</v>
      </c>
      <c r="C394" s="6" t="s">
        <v>430</v>
      </c>
      <c r="E394" s="8">
        <v>6842.74</v>
      </c>
      <c r="G394" s="8">
        <v>1816.02</v>
      </c>
      <c r="I394" s="8">
        <v>1745.67</v>
      </c>
      <c r="K394" s="8">
        <v>275</v>
      </c>
      <c r="M394" s="8">
        <v>0</v>
      </c>
      <c r="O394" s="8">
        <v>11542.9</v>
      </c>
      <c r="Q394" s="8">
        <v>15810.88</v>
      </c>
      <c r="S394" s="8">
        <v>9459</v>
      </c>
      <c r="U394" s="8">
        <v>0</v>
      </c>
      <c r="W394" s="8">
        <v>0</v>
      </c>
      <c r="Y394" s="8">
        <v>0</v>
      </c>
      <c r="AA394" s="8">
        <v>0</v>
      </c>
      <c r="AC394" s="8">
        <v>0</v>
      </c>
      <c r="AE394" s="8">
        <f t="shared" si="15"/>
        <v>47492.21</v>
      </c>
      <c r="AF394" s="8"/>
      <c r="AG394" s="55">
        <v>13854.6</v>
      </c>
      <c r="AH394" s="55"/>
      <c r="AI394" s="55">
        <v>36186.769999999997</v>
      </c>
      <c r="AJ394" s="55"/>
      <c r="AK394" s="55">
        <v>50041.37</v>
      </c>
      <c r="AL394" s="8">
        <f>+'Gov Rev'!AI394-'Gov Exp'!AE394+'Gov Exp'!AI394-'Gov Exp'!AK394</f>
        <v>0</v>
      </c>
      <c r="AM394" s="6" t="str">
        <f>'Gov Rev'!A394</f>
        <v>Morral</v>
      </c>
      <c r="AN394" s="6" t="str">
        <f t="shared" si="16"/>
        <v>Morral</v>
      </c>
      <c r="AO394" s="6" t="b">
        <f t="shared" si="17"/>
        <v>1</v>
      </c>
    </row>
    <row r="395" spans="1:41" x14ac:dyDescent="0.2">
      <c r="A395" s="6" t="s">
        <v>18</v>
      </c>
      <c r="C395" s="6" t="s">
        <v>261</v>
      </c>
      <c r="E395" s="8">
        <v>46678.98</v>
      </c>
      <c r="G395" s="8">
        <v>1359.53</v>
      </c>
      <c r="I395" s="8">
        <v>0</v>
      </c>
      <c r="K395" s="8">
        <v>0</v>
      </c>
      <c r="M395" s="8">
        <v>0</v>
      </c>
      <c r="O395" s="8">
        <v>14725.32</v>
      </c>
      <c r="Q395" s="8">
        <v>45137.85</v>
      </c>
      <c r="S395" s="8">
        <v>12479.7</v>
      </c>
      <c r="U395" s="8">
        <v>30395.1</v>
      </c>
      <c r="W395" s="8">
        <v>0</v>
      </c>
      <c r="Y395" s="8">
        <v>0</v>
      </c>
      <c r="AA395" s="8">
        <v>0</v>
      </c>
      <c r="AC395" s="8">
        <v>66835</v>
      </c>
      <c r="AE395" s="8">
        <f t="shared" si="15"/>
        <v>217611.47999999998</v>
      </c>
      <c r="AF395" s="8"/>
      <c r="AG395" s="55">
        <v>-90972.43</v>
      </c>
      <c r="AH395" s="55"/>
      <c r="AI395" s="55">
        <v>532853.26</v>
      </c>
      <c r="AJ395" s="55"/>
      <c r="AK395" s="55">
        <v>441880.83</v>
      </c>
      <c r="AL395" s="8">
        <f>+'Gov Rev'!AI395-'Gov Exp'!AE395+'Gov Exp'!AI395-'Gov Exp'!AK395</f>
        <v>0</v>
      </c>
      <c r="AM395" s="6" t="str">
        <f>'Gov Rev'!A395</f>
        <v>Morristown</v>
      </c>
      <c r="AN395" s="6" t="str">
        <f t="shared" si="16"/>
        <v>Morristown</v>
      </c>
      <c r="AO395" s="6" t="b">
        <f t="shared" si="17"/>
        <v>1</v>
      </c>
    </row>
    <row r="396" spans="1:41" x14ac:dyDescent="0.2">
      <c r="AE396" s="8"/>
      <c r="AF396" s="8"/>
      <c r="AG396" s="55"/>
      <c r="AH396" s="55"/>
      <c r="AI396" s="55"/>
      <c r="AJ396" s="55"/>
      <c r="AK396" s="55"/>
      <c r="AL396" s="8"/>
    </row>
    <row r="397" spans="1:41" ht="12.75" x14ac:dyDescent="0.2">
      <c r="AE397" s="88" t="s">
        <v>733</v>
      </c>
      <c r="AF397" s="8"/>
      <c r="AG397" s="55"/>
      <c r="AH397" s="55"/>
      <c r="AI397" s="55"/>
      <c r="AJ397" s="55"/>
      <c r="AK397" s="55"/>
      <c r="AL397" s="8"/>
    </row>
    <row r="398" spans="1:41" x14ac:dyDescent="0.2">
      <c r="AE398" s="8"/>
      <c r="AF398" s="8"/>
      <c r="AG398" s="55"/>
      <c r="AH398" s="55"/>
      <c r="AI398" s="55"/>
      <c r="AJ398" s="55"/>
      <c r="AK398" s="55"/>
      <c r="AL398" s="8"/>
    </row>
    <row r="399" spans="1:41" ht="12" customHeight="1" x14ac:dyDescent="0.2">
      <c r="A399" s="6" t="s">
        <v>226</v>
      </c>
      <c r="C399" s="6" t="s">
        <v>541</v>
      </c>
      <c r="E399" s="54">
        <v>190423.63</v>
      </c>
      <c r="G399" s="18">
        <v>751.34</v>
      </c>
      <c r="H399" s="18"/>
      <c r="I399" s="18">
        <v>3615.09</v>
      </c>
      <c r="J399" s="18"/>
      <c r="K399" s="18">
        <v>5442.65</v>
      </c>
      <c r="L399" s="18"/>
      <c r="M399" s="18">
        <v>114068.41</v>
      </c>
      <c r="N399" s="18"/>
      <c r="O399" s="18">
        <v>174149.7</v>
      </c>
      <c r="P399" s="18"/>
      <c r="Q399" s="18">
        <v>281932.28000000003</v>
      </c>
      <c r="R399" s="18"/>
      <c r="S399" s="18">
        <v>50935.53</v>
      </c>
      <c r="T399" s="18"/>
      <c r="U399" s="18">
        <v>29886.720000000001</v>
      </c>
      <c r="V399" s="18"/>
      <c r="W399" s="18">
        <v>3719.77</v>
      </c>
      <c r="X399" s="18"/>
      <c r="Y399" s="18">
        <v>0</v>
      </c>
      <c r="Z399" s="18"/>
      <c r="AA399" s="18">
        <v>90000</v>
      </c>
      <c r="AB399" s="18"/>
      <c r="AC399" s="18">
        <v>14.79</v>
      </c>
      <c r="AD399" s="18"/>
      <c r="AE399" s="18">
        <f t="shared" si="15"/>
        <v>944939.91000000015</v>
      </c>
      <c r="AF399" s="18"/>
      <c r="AG399" s="64">
        <v>-16146.8</v>
      </c>
      <c r="AH399" s="64"/>
      <c r="AI399" s="64">
        <v>417446.75</v>
      </c>
      <c r="AJ399" s="64"/>
      <c r="AK399" s="64">
        <v>401299.95</v>
      </c>
      <c r="AL399" s="8">
        <f>+'Gov Rev'!AI396-'Gov Exp'!AE399+'Gov Exp'!AI399-'Gov Exp'!AK399</f>
        <v>0</v>
      </c>
      <c r="AM399" s="6" t="str">
        <f>'Gov Rev'!A396</f>
        <v>Morrow</v>
      </c>
      <c r="AN399" s="6" t="str">
        <f t="shared" si="16"/>
        <v>Morrow</v>
      </c>
      <c r="AO399" s="6" t="b">
        <f t="shared" si="17"/>
        <v>1</v>
      </c>
    </row>
    <row r="400" spans="1:41" x14ac:dyDescent="0.2">
      <c r="A400" s="6" t="s">
        <v>279</v>
      </c>
      <c r="C400" s="6" t="s">
        <v>277</v>
      </c>
      <c r="E400" s="8">
        <v>55377.9</v>
      </c>
      <c r="G400" s="8">
        <v>9233.44</v>
      </c>
      <c r="I400" s="8">
        <v>194306.68</v>
      </c>
      <c r="K400" s="8">
        <v>9261.7999999999993</v>
      </c>
      <c r="M400" s="8">
        <v>24799.91</v>
      </c>
      <c r="O400" s="8">
        <v>50662.9</v>
      </c>
      <c r="Q400" s="8">
        <v>457399.31</v>
      </c>
      <c r="S400" s="8">
        <v>317832.59999999998</v>
      </c>
      <c r="U400" s="8">
        <v>49374.84</v>
      </c>
      <c r="W400" s="8">
        <v>21510.52</v>
      </c>
      <c r="Y400" s="8">
        <v>0</v>
      </c>
      <c r="AA400" s="8">
        <v>0</v>
      </c>
      <c r="AC400" s="8">
        <v>0</v>
      </c>
      <c r="AE400" s="8">
        <f t="shared" si="15"/>
        <v>1189759.9000000001</v>
      </c>
      <c r="AF400" s="8"/>
      <c r="AG400" s="55">
        <v>-513926.36</v>
      </c>
      <c r="AH400" s="55"/>
      <c r="AI400" s="55">
        <v>1143024.79</v>
      </c>
      <c r="AJ400" s="55"/>
      <c r="AK400" s="55">
        <v>629098.43000000005</v>
      </c>
      <c r="AL400" s="8">
        <f>+'Gov Rev'!AI397-'Gov Exp'!AE400+'Gov Exp'!AI400-'Gov Exp'!AK400</f>
        <v>0</v>
      </c>
      <c r="AM400" s="6" t="str">
        <f>'Gov Rev'!A397</f>
        <v>Moscow</v>
      </c>
      <c r="AN400" s="6" t="str">
        <f t="shared" si="16"/>
        <v>Moscow</v>
      </c>
      <c r="AO400" s="6" t="b">
        <f t="shared" si="17"/>
        <v>1</v>
      </c>
    </row>
    <row r="401" spans="1:41" x14ac:dyDescent="0.2">
      <c r="A401" s="6" t="s">
        <v>849</v>
      </c>
      <c r="C401" s="6" t="s">
        <v>360</v>
      </c>
      <c r="E401" s="8">
        <v>0</v>
      </c>
      <c r="G401" s="8">
        <v>0</v>
      </c>
      <c r="I401" s="8">
        <v>4052.76</v>
      </c>
      <c r="K401" s="8">
        <v>4943.5</v>
      </c>
      <c r="M401" s="8">
        <v>705.32</v>
      </c>
      <c r="O401" s="8">
        <v>20249.84</v>
      </c>
      <c r="Q401" s="8">
        <v>54423.65</v>
      </c>
      <c r="S401" s="8">
        <v>919.76</v>
      </c>
      <c r="U401" s="8">
        <v>0</v>
      </c>
      <c r="W401" s="8">
        <v>0</v>
      </c>
      <c r="Y401" s="8">
        <v>0</v>
      </c>
      <c r="AA401" s="8">
        <v>0</v>
      </c>
      <c r="AC401" s="8">
        <v>0</v>
      </c>
      <c r="AE401" s="8">
        <f t="shared" si="15"/>
        <v>85294.83</v>
      </c>
      <c r="AF401" s="8"/>
      <c r="AG401" s="55">
        <v>-1871.94</v>
      </c>
      <c r="AH401" s="55"/>
      <c r="AI401" s="55">
        <v>66592.63</v>
      </c>
      <c r="AJ401" s="55"/>
      <c r="AK401" s="55">
        <v>64720.69</v>
      </c>
      <c r="AL401" s="8">
        <f>+'Gov Rev'!AI398-'Gov Exp'!AE401+'Gov Exp'!AI401-'Gov Exp'!AK401</f>
        <v>0</v>
      </c>
      <c r="AM401" s="6" t="str">
        <f>'Gov Rev'!A398</f>
        <v>Mount Blanchard</v>
      </c>
      <c r="AN401" s="6" t="str">
        <f t="shared" si="16"/>
        <v>Mount Blanchard</v>
      </c>
      <c r="AO401" s="6" t="b">
        <f t="shared" si="17"/>
        <v>1</v>
      </c>
    </row>
    <row r="402" spans="1:41" x14ac:dyDescent="0.2">
      <c r="A402" s="6" t="s">
        <v>232</v>
      </c>
      <c r="C402" s="6" t="s">
        <v>547</v>
      </c>
      <c r="E402" s="8">
        <v>80051.149999999994</v>
      </c>
      <c r="G402" s="8">
        <v>3918.49</v>
      </c>
      <c r="I402" s="8">
        <v>2195.5500000000002</v>
      </c>
      <c r="K402" s="8">
        <v>0</v>
      </c>
      <c r="M402" s="8">
        <v>0</v>
      </c>
      <c r="O402" s="8">
        <v>25272.93</v>
      </c>
      <c r="Q402" s="8">
        <v>74512.73</v>
      </c>
      <c r="S402" s="8">
        <v>0</v>
      </c>
      <c r="U402" s="8">
        <v>0</v>
      </c>
      <c r="W402" s="8">
        <v>0</v>
      </c>
      <c r="Y402" s="8">
        <v>14000</v>
      </c>
      <c r="AA402" s="8">
        <v>0</v>
      </c>
      <c r="AC402" s="8">
        <v>0</v>
      </c>
      <c r="AE402" s="8">
        <f t="shared" si="15"/>
        <v>199950.84999999998</v>
      </c>
      <c r="AF402" s="8"/>
      <c r="AG402" s="55">
        <v>35218.019999999997</v>
      </c>
      <c r="AH402" s="55"/>
      <c r="AI402" s="55">
        <v>166618.79</v>
      </c>
      <c r="AJ402" s="55"/>
      <c r="AK402" s="55">
        <v>201836.81</v>
      </c>
      <c r="AL402" s="8">
        <f>+'Gov Rev'!AI399-'Gov Exp'!AE402+'Gov Exp'!AI402-'Gov Exp'!AK402</f>
        <v>0</v>
      </c>
      <c r="AM402" s="6" t="str">
        <f>'Gov Rev'!A399</f>
        <v>Mount Eaton</v>
      </c>
      <c r="AN402" s="6" t="str">
        <f t="shared" si="16"/>
        <v>Mount Eaton</v>
      </c>
      <c r="AO402" s="6" t="b">
        <f t="shared" si="17"/>
        <v>1</v>
      </c>
    </row>
    <row r="403" spans="1:41" x14ac:dyDescent="0.2">
      <c r="A403" s="6" t="s">
        <v>132</v>
      </c>
      <c r="C403" s="6" t="s">
        <v>401</v>
      </c>
      <c r="E403" s="8">
        <v>265911.15000000002</v>
      </c>
      <c r="G403" s="8">
        <v>0</v>
      </c>
      <c r="I403" s="8">
        <v>13472.33</v>
      </c>
      <c r="K403" s="8">
        <v>184</v>
      </c>
      <c r="M403" s="8">
        <v>592800</v>
      </c>
      <c r="O403" s="8">
        <v>64238.36</v>
      </c>
      <c r="Q403" s="8">
        <v>260634.13</v>
      </c>
      <c r="S403" s="8">
        <v>50000</v>
      </c>
      <c r="U403" s="8">
        <v>21437.97</v>
      </c>
      <c r="W403" s="8">
        <v>0</v>
      </c>
      <c r="Y403" s="8">
        <v>0</v>
      </c>
      <c r="AA403" s="8">
        <v>10000</v>
      </c>
      <c r="AC403" s="8">
        <v>464.38</v>
      </c>
      <c r="AE403" s="8">
        <f t="shared" si="15"/>
        <v>1279142.3199999998</v>
      </c>
      <c r="AF403" s="8"/>
      <c r="AG403" s="55">
        <v>136055.87</v>
      </c>
      <c r="AH403" s="55"/>
      <c r="AI403" s="55">
        <v>227578.85</v>
      </c>
      <c r="AJ403" s="55"/>
      <c r="AK403" s="55">
        <v>363634.72</v>
      </c>
      <c r="AL403" s="8">
        <f>+'Gov Rev'!AI400-'Gov Exp'!AE403+'Gov Exp'!AI403-'Gov Exp'!AK403</f>
        <v>0</v>
      </c>
      <c r="AM403" s="6" t="str">
        <f>'Gov Rev'!A400</f>
        <v>Mount Sterling</v>
      </c>
      <c r="AN403" s="6" t="str">
        <f t="shared" si="16"/>
        <v>Mount Sterling</v>
      </c>
      <c r="AO403" s="6" t="b">
        <f t="shared" si="17"/>
        <v>1</v>
      </c>
    </row>
    <row r="404" spans="1:41" x14ac:dyDescent="0.2">
      <c r="A404" s="6" t="s">
        <v>94</v>
      </c>
      <c r="C404" s="6" t="s">
        <v>366</v>
      </c>
      <c r="E404" s="8">
        <v>11145.79</v>
      </c>
      <c r="G404" s="8">
        <v>2570</v>
      </c>
      <c r="I404" s="8">
        <v>7178.83</v>
      </c>
      <c r="K404" s="8">
        <v>1777.4</v>
      </c>
      <c r="M404" s="8">
        <v>0</v>
      </c>
      <c r="O404" s="8">
        <v>24988.48</v>
      </c>
      <c r="Q404" s="8">
        <v>50413.45</v>
      </c>
      <c r="S404" s="8">
        <v>1128</v>
      </c>
      <c r="U404" s="8">
        <v>0</v>
      </c>
      <c r="W404" s="8">
        <v>0</v>
      </c>
      <c r="Y404" s="8">
        <v>0</v>
      </c>
      <c r="AA404" s="8">
        <v>0</v>
      </c>
      <c r="AC404" s="8">
        <v>0</v>
      </c>
      <c r="AE404" s="8">
        <f t="shared" si="15"/>
        <v>99201.95</v>
      </c>
      <c r="AF404" s="8"/>
      <c r="AG404" s="55">
        <v>11470.11</v>
      </c>
      <c r="AH404" s="55"/>
      <c r="AI404" s="55">
        <v>97196.75</v>
      </c>
      <c r="AJ404" s="55"/>
      <c r="AK404" s="55">
        <v>108666.86</v>
      </c>
      <c r="AL404" s="8">
        <f>+'Gov Rev'!AI401-'Gov Exp'!AE404+'Gov Exp'!AI404-'Gov Exp'!AK404</f>
        <v>0</v>
      </c>
      <c r="AM404" s="6" t="str">
        <f>'Gov Rev'!A401</f>
        <v>Mount Victory</v>
      </c>
      <c r="AN404" s="6" t="str">
        <f t="shared" si="16"/>
        <v>Mount Victory</v>
      </c>
      <c r="AO404" s="6" t="b">
        <f t="shared" si="17"/>
        <v>1</v>
      </c>
    </row>
    <row r="405" spans="1:41" x14ac:dyDescent="0.2">
      <c r="A405" s="6" t="s">
        <v>380</v>
      </c>
      <c r="C405" s="6" t="s">
        <v>379</v>
      </c>
      <c r="E405" s="8">
        <v>19432.91</v>
      </c>
      <c r="G405" s="8">
        <v>0</v>
      </c>
      <c r="I405" s="8">
        <v>5194.68</v>
      </c>
      <c r="K405" s="8">
        <v>0</v>
      </c>
      <c r="M405" s="8">
        <v>21374.13</v>
      </c>
      <c r="O405" s="8">
        <v>19945</v>
      </c>
      <c r="Q405" s="8">
        <v>30046.04</v>
      </c>
      <c r="S405" s="8">
        <v>0</v>
      </c>
      <c r="U405" s="8">
        <v>38754.35</v>
      </c>
      <c r="W405" s="8">
        <v>0.74</v>
      </c>
      <c r="Y405" s="8">
        <v>0</v>
      </c>
      <c r="AA405" s="8">
        <v>0</v>
      </c>
      <c r="AC405" s="8">
        <v>0</v>
      </c>
      <c r="AE405" s="8">
        <f t="shared" si="15"/>
        <v>134747.85</v>
      </c>
      <c r="AF405" s="8"/>
      <c r="AG405" s="55">
        <v>-26569.42</v>
      </c>
      <c r="AH405" s="55"/>
      <c r="AI405" s="55">
        <v>182049.04</v>
      </c>
      <c r="AJ405" s="55"/>
      <c r="AK405" s="55">
        <v>155479.62</v>
      </c>
      <c r="AL405" s="8">
        <f>+'Gov Rev'!AI402-'Gov Exp'!AE405+'Gov Exp'!AI405-'Gov Exp'!AK405</f>
        <v>0</v>
      </c>
      <c r="AM405" s="6" t="str">
        <f>'Gov Rev'!A402</f>
        <v>Mowrystown</v>
      </c>
      <c r="AN405" s="6" t="str">
        <f t="shared" si="16"/>
        <v>Mowrystown</v>
      </c>
      <c r="AO405" s="6" t="b">
        <f t="shared" si="17"/>
        <v>1</v>
      </c>
    </row>
    <row r="406" spans="1:41" x14ac:dyDescent="0.2">
      <c r="A406" s="6" t="s">
        <v>833</v>
      </c>
      <c r="C406" s="6" t="s">
        <v>226</v>
      </c>
      <c r="E406" s="8">
        <v>1024973</v>
      </c>
      <c r="G406" s="8">
        <v>4029</v>
      </c>
      <c r="I406" s="8">
        <v>0</v>
      </c>
      <c r="K406" s="8">
        <v>0</v>
      </c>
      <c r="M406" s="8">
        <v>28294</v>
      </c>
      <c r="O406" s="8">
        <v>0</v>
      </c>
      <c r="Q406" s="8">
        <f>202408+204961</f>
        <v>407369</v>
      </c>
      <c r="S406" s="8">
        <v>38448</v>
      </c>
      <c r="U406" s="8">
        <v>0</v>
      </c>
      <c r="W406" s="8">
        <v>0</v>
      </c>
      <c r="Y406" s="8">
        <v>287700</v>
      </c>
      <c r="AA406" s="8">
        <v>0</v>
      </c>
      <c r="AC406" s="8">
        <v>0</v>
      </c>
      <c r="AE406" s="8">
        <f t="shared" si="15"/>
        <v>1790813</v>
      </c>
      <c r="AF406" s="8"/>
      <c r="AG406" s="55"/>
      <c r="AH406" s="55"/>
      <c r="AI406" s="55"/>
      <c r="AJ406" s="55"/>
      <c r="AK406" s="55"/>
      <c r="AL406" s="8">
        <f>+'Gov Rev'!AI403-'Gov Exp'!AE406+'Gov Exp'!AI406-'Gov Exp'!AK406</f>
        <v>47749</v>
      </c>
      <c r="AM406" s="6" t="str">
        <f>'Gov Rev'!A403</f>
        <v>Mt. Gilead</v>
      </c>
      <c r="AN406" s="6" t="str">
        <f t="shared" si="16"/>
        <v>Mt. Gilead</v>
      </c>
      <c r="AO406" s="6" t="b">
        <f t="shared" si="17"/>
        <v>1</v>
      </c>
    </row>
    <row r="407" spans="1:41" x14ac:dyDescent="0.2">
      <c r="A407" s="6" t="s">
        <v>24</v>
      </c>
      <c r="C407" s="6" t="s">
        <v>265</v>
      </c>
      <c r="E407" s="8">
        <v>1679854.5</v>
      </c>
      <c r="G407" s="8">
        <v>9538.16</v>
      </c>
      <c r="I407" s="8">
        <v>81697.88</v>
      </c>
      <c r="K407" s="8">
        <v>55055.74</v>
      </c>
      <c r="M407" s="8">
        <v>28669.26</v>
      </c>
      <c r="O407" s="8">
        <v>542096.04</v>
      </c>
      <c r="Q407" s="8">
        <v>401492.35</v>
      </c>
      <c r="S407" s="8">
        <v>21356.06</v>
      </c>
      <c r="U407" s="8">
        <v>2719498.23</v>
      </c>
      <c r="W407" s="8">
        <v>298937.40999999997</v>
      </c>
      <c r="Y407" s="8">
        <v>233845.96</v>
      </c>
      <c r="AA407" s="8">
        <v>0</v>
      </c>
      <c r="AC407" s="8">
        <v>9058.68</v>
      </c>
      <c r="AE407" s="8">
        <f t="shared" si="15"/>
        <v>6081100.2700000005</v>
      </c>
      <c r="AF407" s="8"/>
      <c r="AG407" s="55">
        <v>-113699.89</v>
      </c>
      <c r="AH407" s="55"/>
      <c r="AI407" s="55">
        <v>1202528.6000000001</v>
      </c>
      <c r="AJ407" s="55"/>
      <c r="AK407" s="55">
        <v>1088828.71</v>
      </c>
      <c r="AL407" s="8">
        <f>+'Gov Rev'!AI404-'Gov Exp'!AE407+'Gov Exp'!AI407-'Gov Exp'!AK407</f>
        <v>0</v>
      </c>
      <c r="AM407" s="6" t="str">
        <f>'Gov Rev'!A404</f>
        <v>Mt. Orab</v>
      </c>
      <c r="AN407" s="6" t="str">
        <f t="shared" si="16"/>
        <v>Mt. Orab</v>
      </c>
      <c r="AO407" s="6" t="b">
        <f t="shared" si="17"/>
        <v>1</v>
      </c>
    </row>
    <row r="408" spans="1:41" x14ac:dyDescent="0.2">
      <c r="A408" s="6" t="s">
        <v>107</v>
      </c>
      <c r="C408" s="6" t="s">
        <v>790</v>
      </c>
      <c r="E408" s="8">
        <v>31655.200000000001</v>
      </c>
      <c r="G408" s="8">
        <v>0</v>
      </c>
      <c r="I408" s="8">
        <v>370.37</v>
      </c>
      <c r="K408" s="8">
        <v>0</v>
      </c>
      <c r="M408" s="8">
        <v>0</v>
      </c>
      <c r="O408" s="8">
        <v>39014.230000000003</v>
      </c>
      <c r="Q408" s="8">
        <v>62901.16</v>
      </c>
      <c r="S408" s="8">
        <v>2273.1999999999998</v>
      </c>
      <c r="U408" s="8">
        <v>5766.7</v>
      </c>
      <c r="W408" s="8">
        <v>289.95999999999998</v>
      </c>
      <c r="Y408" s="8">
        <v>0</v>
      </c>
      <c r="AA408" s="8">
        <v>0</v>
      </c>
      <c r="AC408" s="8">
        <v>29449</v>
      </c>
      <c r="AE408" s="8">
        <f t="shared" si="15"/>
        <v>171719.82000000004</v>
      </c>
      <c r="AF408" s="8"/>
      <c r="AG408" s="55">
        <v>-40328.6</v>
      </c>
      <c r="AH408" s="55"/>
      <c r="AI408" s="55">
        <v>72954.570000000007</v>
      </c>
      <c r="AJ408" s="55"/>
      <c r="AK408" s="55">
        <v>32625.97</v>
      </c>
      <c r="AL408" s="8">
        <f>+'Gov Rev'!AI405-'Gov Exp'!AE408+'Gov Exp'!AI408-'Gov Exp'!AK408</f>
        <v>-2.9103830456733704E-11</v>
      </c>
      <c r="AM408" s="6" t="str">
        <f>'Gov Rev'!A405</f>
        <v>Murray City</v>
      </c>
      <c r="AN408" s="6" t="str">
        <f t="shared" si="16"/>
        <v>Murray City</v>
      </c>
      <c r="AO408" s="6" t="b">
        <f t="shared" si="17"/>
        <v>1</v>
      </c>
    </row>
    <row r="409" spans="1:41" x14ac:dyDescent="0.2">
      <c r="A409" s="6" t="s">
        <v>270</v>
      </c>
      <c r="C409" s="6" t="s">
        <v>269</v>
      </c>
      <c r="E409" s="8">
        <v>3350.29</v>
      </c>
      <c r="G409" s="8">
        <v>0</v>
      </c>
      <c r="I409" s="8">
        <v>0</v>
      </c>
      <c r="K409" s="8">
        <v>0</v>
      </c>
      <c r="M409" s="8">
        <v>0</v>
      </c>
      <c r="O409" s="8">
        <v>550</v>
      </c>
      <c r="Q409" s="8">
        <v>4874.58</v>
      </c>
      <c r="S409" s="8">
        <v>0</v>
      </c>
      <c r="U409" s="8">
        <v>0</v>
      </c>
      <c r="W409" s="8">
        <v>0</v>
      </c>
      <c r="Y409" s="8">
        <v>0</v>
      </c>
      <c r="AA409" s="8">
        <v>0</v>
      </c>
      <c r="AC409" s="8">
        <v>0</v>
      </c>
      <c r="AE409" s="8">
        <f t="shared" si="15"/>
        <v>8774.869999999999</v>
      </c>
      <c r="AF409" s="8"/>
      <c r="AG409" s="55">
        <v>3875.15</v>
      </c>
      <c r="AH409" s="55"/>
      <c r="AI409" s="55">
        <v>59343.39</v>
      </c>
      <c r="AJ409" s="55"/>
      <c r="AK409" s="55">
        <v>63218.54</v>
      </c>
      <c r="AL409" s="8">
        <f>+'Gov Rev'!AI406-'Gov Exp'!AE409+'Gov Exp'!AI409-'Gov Exp'!AK409</f>
        <v>0</v>
      </c>
      <c r="AM409" s="6" t="str">
        <f>'Gov Rev'!A406</f>
        <v>Mutual</v>
      </c>
      <c r="AN409" s="6" t="str">
        <f t="shared" si="16"/>
        <v>Mutual</v>
      </c>
      <c r="AO409" s="6" t="b">
        <f t="shared" si="17"/>
        <v>1</v>
      </c>
    </row>
    <row r="410" spans="1:41" x14ac:dyDescent="0.2">
      <c r="A410" s="6" t="s">
        <v>508</v>
      </c>
      <c r="C410" s="6" t="s">
        <v>502</v>
      </c>
      <c r="E410" s="8">
        <v>483763</v>
      </c>
      <c r="G410" s="8">
        <v>8044</v>
      </c>
      <c r="I410" s="8">
        <v>16607</v>
      </c>
      <c r="K410" s="8">
        <v>4244</v>
      </c>
      <c r="M410" s="8">
        <v>1250</v>
      </c>
      <c r="O410" s="8">
        <v>263581</v>
      </c>
      <c r="Q410" s="8">
        <v>183094</v>
      </c>
      <c r="S410" s="8">
        <v>199278</v>
      </c>
      <c r="U410" s="8">
        <v>0</v>
      </c>
      <c r="W410" s="8">
        <v>0</v>
      </c>
      <c r="Y410" s="8">
        <v>928000</v>
      </c>
      <c r="AA410" s="8">
        <v>0</v>
      </c>
      <c r="AC410" s="8">
        <v>12140</v>
      </c>
      <c r="AE410" s="8">
        <f t="shared" si="15"/>
        <v>2100001</v>
      </c>
      <c r="AF410" s="8"/>
      <c r="AG410" s="55"/>
      <c r="AH410" s="55"/>
      <c r="AI410" s="55"/>
      <c r="AJ410" s="55"/>
      <c r="AK410" s="55"/>
      <c r="AL410" s="8">
        <f>+'Gov Rev'!AI407-'Gov Exp'!AE410+'Gov Exp'!AI410-'Gov Exp'!AK410</f>
        <v>200044</v>
      </c>
      <c r="AM410" s="6" t="str">
        <f>'Gov Rev'!A407</f>
        <v>Navarre</v>
      </c>
      <c r="AN410" s="6" t="str">
        <f t="shared" si="16"/>
        <v>Navarre</v>
      </c>
      <c r="AO410" s="6" t="b">
        <f t="shared" si="17"/>
        <v>1</v>
      </c>
    </row>
    <row r="411" spans="1:41" x14ac:dyDescent="0.2">
      <c r="A411" s="6" t="s">
        <v>286</v>
      </c>
      <c r="C411" s="6" t="s">
        <v>285</v>
      </c>
      <c r="E411" s="8">
        <v>329</v>
      </c>
      <c r="G411" s="8">
        <v>0</v>
      </c>
      <c r="I411" s="8">
        <v>0</v>
      </c>
      <c r="K411" s="8">
        <v>0</v>
      </c>
      <c r="M411" s="8">
        <v>445</v>
      </c>
      <c r="O411" s="8">
        <v>3065</v>
      </c>
      <c r="Q411" s="8">
        <v>17304</v>
      </c>
      <c r="S411" s="8">
        <v>0</v>
      </c>
      <c r="U411" s="8">
        <v>0</v>
      </c>
      <c r="W411" s="8">
        <v>0</v>
      </c>
      <c r="Y411" s="8">
        <v>0</v>
      </c>
      <c r="AA411" s="8">
        <v>0</v>
      </c>
      <c r="AC411" s="8">
        <v>0</v>
      </c>
      <c r="AE411" s="8">
        <f t="shared" si="15"/>
        <v>21143</v>
      </c>
      <c r="AF411" s="8"/>
      <c r="AG411" s="55"/>
      <c r="AH411" s="55"/>
      <c r="AI411" s="55"/>
      <c r="AJ411" s="55"/>
      <c r="AK411" s="55"/>
      <c r="AL411" s="8">
        <f>+'Gov Rev'!AI411-'Gov Exp'!AE411+'Gov Exp'!AI411-'Gov Exp'!AK411</f>
        <v>10807</v>
      </c>
      <c r="AM411" s="6" t="str">
        <f>'Gov Rev'!A411</f>
        <v>Nellie</v>
      </c>
      <c r="AN411" s="6" t="str">
        <f t="shared" si="16"/>
        <v>Nellie</v>
      </c>
      <c r="AO411" s="6" t="b">
        <f t="shared" si="17"/>
        <v>1</v>
      </c>
    </row>
    <row r="412" spans="1:41" x14ac:dyDescent="0.2">
      <c r="A412" s="6" t="s">
        <v>567</v>
      </c>
      <c r="C412" s="6" t="s">
        <v>566</v>
      </c>
      <c r="E412" s="8">
        <v>0</v>
      </c>
      <c r="G412" s="8">
        <v>2727</v>
      </c>
      <c r="I412" s="8">
        <v>1516</v>
      </c>
      <c r="K412" s="8">
        <v>434</v>
      </c>
      <c r="M412" s="8">
        <v>390</v>
      </c>
      <c r="O412" s="8">
        <v>44482</v>
      </c>
      <c r="Q412" s="8">
        <v>32656</v>
      </c>
      <c r="S412" s="8">
        <v>30000</v>
      </c>
      <c r="U412" s="8">
        <v>83279</v>
      </c>
      <c r="W412" s="8">
        <v>0</v>
      </c>
      <c r="Y412" s="8">
        <v>0</v>
      </c>
      <c r="AA412" s="8">
        <v>0</v>
      </c>
      <c r="AC412" s="8">
        <v>0</v>
      </c>
      <c r="AE412" s="8">
        <f t="shared" ref="AE412:AE478" si="18">SUM(E412:AC412)</f>
        <v>195484</v>
      </c>
      <c r="AF412" s="8"/>
      <c r="AG412" s="55"/>
      <c r="AH412" s="55"/>
      <c r="AI412" s="55"/>
      <c r="AJ412" s="55"/>
      <c r="AK412" s="55"/>
      <c r="AL412" s="8">
        <f>+'Gov Rev'!AI412-'Gov Exp'!AE412+'Gov Exp'!AI412-'Gov Exp'!AK412</f>
        <v>11401</v>
      </c>
      <c r="AM412" s="6" t="str">
        <f>'Gov Rev'!A412</f>
        <v>Nevada</v>
      </c>
      <c r="AN412" s="6" t="str">
        <f t="shared" ref="AN412:AN478" si="19">A412</f>
        <v>Nevada</v>
      </c>
      <c r="AO412" s="6" t="b">
        <f t="shared" ref="AO412:AO478" si="20">AM412=AN412</f>
        <v>1</v>
      </c>
    </row>
    <row r="413" spans="1:41" x14ac:dyDescent="0.2">
      <c r="A413" s="6" t="s">
        <v>36</v>
      </c>
      <c r="C413" s="6" t="s">
        <v>277</v>
      </c>
      <c r="E413" s="8">
        <v>2923.34</v>
      </c>
      <c r="G413" s="8">
        <v>0</v>
      </c>
      <c r="I413" s="8">
        <v>0</v>
      </c>
      <c r="K413" s="8">
        <v>323.01</v>
      </c>
      <c r="M413" s="8">
        <v>1479</v>
      </c>
      <c r="O413" s="8">
        <v>328.58</v>
      </c>
      <c r="Q413" s="8">
        <v>8949.16</v>
      </c>
      <c r="S413" s="8">
        <v>13167.65</v>
      </c>
      <c r="U413" s="8">
        <v>0</v>
      </c>
      <c r="W413" s="8">
        <v>0</v>
      </c>
      <c r="Y413" s="8">
        <v>0</v>
      </c>
      <c r="AA413" s="8">
        <v>0</v>
      </c>
      <c r="AC413" s="8">
        <v>0</v>
      </c>
      <c r="AE413" s="8">
        <f t="shared" si="18"/>
        <v>27170.739999999998</v>
      </c>
      <c r="AF413" s="8"/>
      <c r="AG413" s="55">
        <v>-5998.19</v>
      </c>
      <c r="AH413" s="55"/>
      <c r="AI413" s="55">
        <v>46724.87</v>
      </c>
      <c r="AJ413" s="55"/>
      <c r="AK413" s="55">
        <v>40726.68</v>
      </c>
      <c r="AL413" s="8">
        <f>+'Gov Rev'!AI413-'Gov Exp'!AE413+'Gov Exp'!AI413-'Gov Exp'!AK413</f>
        <v>0</v>
      </c>
      <c r="AM413" s="6" t="str">
        <f>'Gov Rev'!A413</f>
        <v>Neville</v>
      </c>
      <c r="AN413" s="6" t="str">
        <f t="shared" si="19"/>
        <v>Neville</v>
      </c>
      <c r="AO413" s="6" t="b">
        <f t="shared" si="20"/>
        <v>1</v>
      </c>
    </row>
    <row r="414" spans="1:41" x14ac:dyDescent="0.2">
      <c r="A414" s="6" t="s">
        <v>847</v>
      </c>
      <c r="C414" s="6" t="s">
        <v>390</v>
      </c>
      <c r="E414" s="8">
        <v>7874</v>
      </c>
      <c r="G414" s="8">
        <v>24147</v>
      </c>
      <c r="I414" s="8">
        <v>4094</v>
      </c>
      <c r="K414" s="8">
        <v>58</v>
      </c>
      <c r="M414" s="8">
        <v>2548</v>
      </c>
      <c r="O414" s="8">
        <v>7178</v>
      </c>
      <c r="Q414" s="8">
        <v>23707</v>
      </c>
      <c r="S414" s="8">
        <v>0</v>
      </c>
      <c r="U414" s="8">
        <v>0</v>
      </c>
      <c r="W414" s="8">
        <v>0</v>
      </c>
      <c r="Y414" s="8">
        <v>0</v>
      </c>
      <c r="AA414" s="8">
        <v>0</v>
      </c>
      <c r="AC414" s="8">
        <v>0</v>
      </c>
      <c r="AE414" s="8">
        <f t="shared" si="18"/>
        <v>69606</v>
      </c>
      <c r="AF414" s="8"/>
      <c r="AG414" s="55"/>
      <c r="AH414" s="55"/>
      <c r="AI414" s="55"/>
      <c r="AJ414" s="55"/>
      <c r="AK414" s="55"/>
      <c r="AL414" s="8">
        <f>+'Gov Rev'!AI414-'Gov Exp'!AE414+'Gov Exp'!AI414-'Gov Exp'!AK414</f>
        <v>-10840</v>
      </c>
      <c r="AM414" s="6" t="str">
        <f>'Gov Rev'!A414</f>
        <v>New Alexandria</v>
      </c>
      <c r="AN414" s="6" t="str">
        <f t="shared" si="19"/>
        <v>New Alexandria</v>
      </c>
      <c r="AO414" s="6" t="b">
        <f t="shared" si="20"/>
        <v>1</v>
      </c>
    </row>
    <row r="415" spans="1:41" x14ac:dyDescent="0.2">
      <c r="A415" s="6" t="s">
        <v>98</v>
      </c>
      <c r="C415" s="6" t="s">
        <v>373</v>
      </c>
      <c r="E415" s="8">
        <v>53462.85</v>
      </c>
      <c r="G415" s="8">
        <v>0</v>
      </c>
      <c r="I415" s="8">
        <v>0</v>
      </c>
      <c r="K415" s="8">
        <v>0</v>
      </c>
      <c r="M415" s="8">
        <v>0</v>
      </c>
      <c r="O415" s="8">
        <v>23170.31</v>
      </c>
      <c r="Q415" s="8">
        <v>16758.04</v>
      </c>
      <c r="S415" s="8">
        <v>0</v>
      </c>
      <c r="U415" s="8">
        <v>0</v>
      </c>
      <c r="W415" s="8">
        <v>0</v>
      </c>
      <c r="Y415" s="8">
        <v>0</v>
      </c>
      <c r="AA415" s="8">
        <v>0</v>
      </c>
      <c r="AC415" s="8">
        <v>16233.51</v>
      </c>
      <c r="AE415" s="8">
        <f t="shared" si="18"/>
        <v>109624.71</v>
      </c>
      <c r="AF415" s="8"/>
      <c r="AG415" s="55">
        <v>-9561.5</v>
      </c>
      <c r="AH415" s="55"/>
      <c r="AI415" s="55">
        <v>39181.51</v>
      </c>
      <c r="AJ415" s="55"/>
      <c r="AK415" s="55">
        <v>29620.01</v>
      </c>
      <c r="AL415" s="8">
        <f>+'Gov Rev'!AI415-'Gov Exp'!AE415+'Gov Exp'!AI415-'Gov Exp'!AK415</f>
        <v>0</v>
      </c>
      <c r="AM415" s="6" t="str">
        <f>'Gov Rev'!A415</f>
        <v>New Athens</v>
      </c>
      <c r="AN415" s="6" t="str">
        <f t="shared" si="19"/>
        <v>New Athens</v>
      </c>
      <c r="AO415" s="6" t="b">
        <f t="shared" si="20"/>
        <v>1</v>
      </c>
    </row>
    <row r="416" spans="1:41" x14ac:dyDescent="0.2">
      <c r="A416" s="6" t="s">
        <v>104</v>
      </c>
      <c r="C416" s="6" t="s">
        <v>377</v>
      </c>
      <c r="E416" s="8">
        <v>3160.03</v>
      </c>
      <c r="G416" s="8">
        <v>0</v>
      </c>
      <c r="I416" s="8">
        <v>1251.1199999999999</v>
      </c>
      <c r="K416" s="8">
        <v>0</v>
      </c>
      <c r="M416" s="8">
        <v>0</v>
      </c>
      <c r="O416" s="8">
        <v>0</v>
      </c>
      <c r="Q416" s="8">
        <v>8215.48</v>
      </c>
      <c r="S416" s="8">
        <v>0</v>
      </c>
      <c r="U416" s="8">
        <v>0</v>
      </c>
      <c r="W416" s="8">
        <v>0</v>
      </c>
      <c r="Y416" s="8">
        <v>0</v>
      </c>
      <c r="AA416" s="8">
        <v>0</v>
      </c>
      <c r="AC416" s="8">
        <v>0</v>
      </c>
      <c r="AE416" s="8">
        <f t="shared" si="18"/>
        <v>12626.63</v>
      </c>
      <c r="AF416" s="8"/>
      <c r="AG416" s="55">
        <v>23320.2</v>
      </c>
      <c r="AH416" s="55"/>
      <c r="AI416" s="55">
        <v>18403.57</v>
      </c>
      <c r="AJ416" s="55"/>
      <c r="AK416" s="55">
        <v>41723.769999999997</v>
      </c>
      <c r="AL416" s="8">
        <f>+'Gov Rev'!AI416-'Gov Exp'!AE416+'Gov Exp'!AI416-'Gov Exp'!AK416</f>
        <v>0</v>
      </c>
      <c r="AM416" s="6" t="str">
        <f>'Gov Rev'!A416</f>
        <v>New Bavaria</v>
      </c>
      <c r="AN416" s="6" t="str">
        <f t="shared" si="19"/>
        <v>New Bavaria</v>
      </c>
      <c r="AO416" s="6" t="b">
        <f t="shared" si="20"/>
        <v>1</v>
      </c>
    </row>
    <row r="417" spans="1:41" x14ac:dyDescent="0.2">
      <c r="A417" s="6" t="s">
        <v>139</v>
      </c>
      <c r="C417" s="6" t="s">
        <v>430</v>
      </c>
      <c r="E417" s="8">
        <v>9219</v>
      </c>
      <c r="G417" s="8">
        <v>0</v>
      </c>
      <c r="I417" s="8">
        <v>0</v>
      </c>
      <c r="K417" s="8">
        <v>0</v>
      </c>
      <c r="M417" s="8">
        <v>0</v>
      </c>
      <c r="O417" s="8">
        <v>26008.17</v>
      </c>
      <c r="Q417" s="8">
        <v>33057.730000000003</v>
      </c>
      <c r="S417" s="8">
        <v>0</v>
      </c>
      <c r="U417" s="8">
        <v>0</v>
      </c>
      <c r="W417" s="8">
        <v>0</v>
      </c>
      <c r="Y417" s="8">
        <v>16160</v>
      </c>
      <c r="AA417" s="8">
        <v>0</v>
      </c>
      <c r="AC417" s="8">
        <v>0</v>
      </c>
      <c r="AE417" s="8">
        <f t="shared" si="18"/>
        <v>84444.9</v>
      </c>
      <c r="AF417" s="8"/>
      <c r="AG417" s="55">
        <v>-14660.34</v>
      </c>
      <c r="AH417" s="55"/>
      <c r="AI417" s="55">
        <v>126837.46</v>
      </c>
      <c r="AJ417" s="55"/>
      <c r="AK417" s="55">
        <v>112177.12</v>
      </c>
      <c r="AL417" s="8">
        <f>+'Gov Rev'!AI417-'Gov Exp'!AE417+'Gov Exp'!AI417-'Gov Exp'!AK417</f>
        <v>0</v>
      </c>
      <c r="AM417" s="6" t="str">
        <f>'Gov Rev'!A417</f>
        <v>New Bloomington</v>
      </c>
      <c r="AN417" s="6" t="str">
        <f t="shared" si="19"/>
        <v>New Bloomington</v>
      </c>
      <c r="AO417" s="6" t="b">
        <f t="shared" si="20"/>
        <v>1</v>
      </c>
    </row>
    <row r="418" spans="1:41" x14ac:dyDescent="0.2">
      <c r="A418" s="6" t="s">
        <v>490</v>
      </c>
      <c r="C418" s="6" t="s">
        <v>491</v>
      </c>
      <c r="E418" s="8">
        <v>810440.96</v>
      </c>
      <c r="G418" s="8">
        <v>19351.62</v>
      </c>
      <c r="I418" s="8">
        <v>19216.8</v>
      </c>
      <c r="K418" s="8">
        <v>20278.61</v>
      </c>
      <c r="M418" s="8">
        <v>605178.28</v>
      </c>
      <c r="O418" s="8">
        <v>128748.41</v>
      </c>
      <c r="Q418" s="8">
        <v>1021006.83</v>
      </c>
      <c r="S418" s="8">
        <v>20198.580000000002</v>
      </c>
      <c r="U418" s="8">
        <v>230054.19</v>
      </c>
      <c r="W418" s="8">
        <v>13115.23</v>
      </c>
      <c r="Y418" s="8">
        <v>447157.39</v>
      </c>
      <c r="AA418" s="8">
        <v>0</v>
      </c>
      <c r="AC418" s="8">
        <v>0</v>
      </c>
      <c r="AE418" s="8">
        <f t="shared" si="18"/>
        <v>3334746.9</v>
      </c>
      <c r="AF418" s="8"/>
      <c r="AG418" s="55">
        <v>25348.17</v>
      </c>
      <c r="AH418" s="55"/>
      <c r="AI418" s="55">
        <v>721839.72</v>
      </c>
      <c r="AJ418" s="55"/>
      <c r="AK418" s="55">
        <v>747187.89</v>
      </c>
      <c r="AL418" s="8">
        <f>+'Gov Rev'!AI418-'Gov Exp'!AE418+'Gov Exp'!AI418-'Gov Exp'!AK418</f>
        <v>0</v>
      </c>
      <c r="AM418" s="6" t="str">
        <f>'Gov Rev'!A418</f>
        <v>New Boston</v>
      </c>
      <c r="AN418" s="6" t="str">
        <f t="shared" si="19"/>
        <v>New Boston</v>
      </c>
      <c r="AO418" s="6" t="b">
        <f t="shared" si="20"/>
        <v>1</v>
      </c>
    </row>
    <row r="419" spans="1:41" x14ac:dyDescent="0.2">
      <c r="A419" s="6" t="s">
        <v>259</v>
      </c>
      <c r="C419" s="6" t="s">
        <v>257</v>
      </c>
      <c r="E419" s="8">
        <v>870147</v>
      </c>
      <c r="G419" s="8">
        <v>178</v>
      </c>
      <c r="I419" s="8">
        <v>297974</v>
      </c>
      <c r="K419" s="8">
        <v>0</v>
      </c>
      <c r="M419" s="8">
        <v>0</v>
      </c>
      <c r="O419" s="8">
        <v>642324</v>
      </c>
      <c r="Q419" s="8">
        <v>526282</v>
      </c>
      <c r="S419" s="8">
        <v>1641436</v>
      </c>
      <c r="U419" s="8">
        <v>4946</v>
      </c>
      <c r="W419" s="8">
        <v>0</v>
      </c>
      <c r="Y419" s="8">
        <v>610000</v>
      </c>
      <c r="AA419" s="8">
        <v>0</v>
      </c>
      <c r="AC419" s="8">
        <v>0</v>
      </c>
      <c r="AE419" s="8">
        <f t="shared" si="18"/>
        <v>4593287</v>
      </c>
      <c r="AF419" s="8"/>
      <c r="AG419" s="55"/>
      <c r="AH419" s="55"/>
      <c r="AI419" s="55"/>
      <c r="AJ419" s="55"/>
      <c r="AK419" s="55"/>
      <c r="AL419" s="8">
        <f>+'Gov Rev'!AI419-'Gov Exp'!AE419+'Gov Exp'!AI419-'Gov Exp'!AK419</f>
        <v>125272</v>
      </c>
      <c r="AM419" s="6" t="str">
        <f>'Gov Rev'!A419</f>
        <v>New Bremen</v>
      </c>
      <c r="AN419" s="6" t="str">
        <f t="shared" si="19"/>
        <v>New Bremen</v>
      </c>
      <c r="AO419" s="6" t="b">
        <f t="shared" si="20"/>
        <v>1</v>
      </c>
    </row>
    <row r="420" spans="1:41" x14ac:dyDescent="0.2">
      <c r="A420" s="6" t="s">
        <v>451</v>
      </c>
      <c r="C420" s="6" t="s">
        <v>450</v>
      </c>
      <c r="E420" s="8">
        <v>536970</v>
      </c>
      <c r="G420" s="8">
        <v>0</v>
      </c>
      <c r="I420" s="8">
        <v>22027</v>
      </c>
      <c r="K420" s="8">
        <v>0</v>
      </c>
      <c r="M420" s="8">
        <v>0</v>
      </c>
      <c r="O420" s="8">
        <v>212395</v>
      </c>
      <c r="Q420" s="8">
        <v>288215</v>
      </c>
      <c r="S420" s="8">
        <v>361024</v>
      </c>
      <c r="U420" s="8">
        <v>392597</v>
      </c>
      <c r="W420" s="8">
        <v>0</v>
      </c>
      <c r="Y420" s="8">
        <v>203012</v>
      </c>
      <c r="AA420" s="8">
        <v>0</v>
      </c>
      <c r="AC420" s="8">
        <v>2061</v>
      </c>
      <c r="AE420" s="8">
        <f t="shared" si="18"/>
        <v>2018301</v>
      </c>
      <c r="AF420" s="8"/>
      <c r="AG420" s="55"/>
      <c r="AH420" s="55"/>
      <c r="AI420" s="55"/>
      <c r="AJ420" s="55"/>
      <c r="AK420" s="55"/>
      <c r="AL420" s="8">
        <f>+'Gov Rev'!AI420-'Gov Exp'!AE420+'Gov Exp'!AI420-'Gov Exp'!AK420</f>
        <v>3138</v>
      </c>
      <c r="AM420" s="6" t="str">
        <f>'Gov Rev'!A420</f>
        <v>New Concord</v>
      </c>
      <c r="AN420" s="6" t="str">
        <f t="shared" si="19"/>
        <v>New Concord</v>
      </c>
      <c r="AO420" s="6" t="b">
        <f t="shared" si="20"/>
        <v>1</v>
      </c>
    </row>
    <row r="421" spans="1:41" x14ac:dyDescent="0.2">
      <c r="A421" s="6" t="s">
        <v>174</v>
      </c>
      <c r="C421" s="6" t="s">
        <v>467</v>
      </c>
      <c r="E421" s="8">
        <v>12542.77</v>
      </c>
      <c r="G421" s="8">
        <v>23614.639999999999</v>
      </c>
      <c r="I421" s="8">
        <v>12471.63</v>
      </c>
      <c r="K421" s="8">
        <v>170.15</v>
      </c>
      <c r="M421" s="8">
        <v>0</v>
      </c>
      <c r="O421" s="8">
        <v>34646.769999999997</v>
      </c>
      <c r="Q421" s="8">
        <v>33188.03</v>
      </c>
      <c r="S421" s="8">
        <v>17163.05</v>
      </c>
      <c r="U421" s="8">
        <v>0</v>
      </c>
      <c r="W421" s="8">
        <v>0</v>
      </c>
      <c r="Y421" s="8">
        <v>0</v>
      </c>
      <c r="AA421" s="8">
        <v>2200</v>
      </c>
      <c r="AC421" s="8">
        <v>0</v>
      </c>
      <c r="AE421" s="8">
        <f t="shared" si="18"/>
        <v>135997.03999999998</v>
      </c>
      <c r="AF421" s="8"/>
      <c r="AG421" s="55">
        <v>31838.03</v>
      </c>
      <c r="AH421" s="55"/>
      <c r="AI421" s="55">
        <v>241913.01</v>
      </c>
      <c r="AJ421" s="55"/>
      <c r="AK421" s="55">
        <v>273751.03999999998</v>
      </c>
      <c r="AL421" s="8">
        <f>+'Gov Rev'!AI421-'Gov Exp'!AE421+'Gov Exp'!AI421-'Gov Exp'!AK421</f>
        <v>0</v>
      </c>
      <c r="AM421" s="6" t="str">
        <f>'Gov Rev'!A421</f>
        <v>New Holland</v>
      </c>
      <c r="AN421" s="6" t="str">
        <f t="shared" si="19"/>
        <v>New Holland</v>
      </c>
      <c r="AO421" s="6" t="b">
        <f t="shared" si="20"/>
        <v>1</v>
      </c>
    </row>
    <row r="422" spans="1:41" x14ac:dyDescent="0.2">
      <c r="A422" s="6" t="s">
        <v>12</v>
      </c>
      <c r="C422" s="6" t="s">
        <v>257</v>
      </c>
      <c r="E422" s="8">
        <v>84990.54</v>
      </c>
      <c r="G422" s="8">
        <v>48.54</v>
      </c>
      <c r="I422" s="8">
        <v>30223.87</v>
      </c>
      <c r="K422" s="8">
        <v>0</v>
      </c>
      <c r="M422" s="8">
        <v>23160</v>
      </c>
      <c r="O422" s="8">
        <v>21037.439999999999</v>
      </c>
      <c r="Q422" s="8">
        <v>166091.6</v>
      </c>
      <c r="S422" s="8">
        <v>52818.8</v>
      </c>
      <c r="U422" s="8">
        <v>66826</v>
      </c>
      <c r="W422" s="8">
        <v>2952.16</v>
      </c>
      <c r="Y422" s="8">
        <v>128070.04</v>
      </c>
      <c r="AA422" s="8">
        <v>0</v>
      </c>
      <c r="AC422" s="8">
        <v>0</v>
      </c>
      <c r="AE422" s="8">
        <f t="shared" si="18"/>
        <v>576218.99</v>
      </c>
      <c r="AF422" s="8"/>
      <c r="AG422" s="55">
        <v>138719.70000000001</v>
      </c>
      <c r="AH422" s="55"/>
      <c r="AI422" s="55">
        <v>721065.49</v>
      </c>
      <c r="AJ422" s="55"/>
      <c r="AK422" s="55">
        <v>859785.19</v>
      </c>
      <c r="AL422" s="8">
        <f>+'Gov Rev'!AI422-'Gov Exp'!AE422+'Gov Exp'!AI422-'Gov Exp'!AK422</f>
        <v>0</v>
      </c>
      <c r="AM422" s="6" t="str">
        <f>'Gov Rev'!A422</f>
        <v>New Knoxville</v>
      </c>
      <c r="AN422" s="6" t="str">
        <f t="shared" si="19"/>
        <v>New Knoxville</v>
      </c>
      <c r="AO422" s="6" t="b">
        <f t="shared" si="20"/>
        <v>1</v>
      </c>
    </row>
    <row r="423" spans="1:41" x14ac:dyDescent="0.2">
      <c r="A423" s="6" t="s">
        <v>447</v>
      </c>
      <c r="C423" s="6" t="s">
        <v>446</v>
      </c>
      <c r="E423" s="8">
        <v>1222946</v>
      </c>
      <c r="G423" s="8">
        <v>0</v>
      </c>
      <c r="I423" s="8">
        <v>75039</v>
      </c>
      <c r="K423" s="8">
        <v>31417</v>
      </c>
      <c r="M423" s="8">
        <v>0</v>
      </c>
      <c r="O423" s="8">
        <v>139501</v>
      </c>
      <c r="Q423" s="8">
        <v>307537</v>
      </c>
      <c r="S423" s="8">
        <v>728329</v>
      </c>
      <c r="U423" s="8">
        <v>270000</v>
      </c>
      <c r="W423" s="8">
        <v>42035</v>
      </c>
      <c r="Y423" s="8">
        <v>866148</v>
      </c>
      <c r="AA423" s="8">
        <v>0</v>
      </c>
      <c r="AC423" s="8">
        <v>121316</v>
      </c>
      <c r="AE423" s="8">
        <f t="shared" si="18"/>
        <v>3804268</v>
      </c>
      <c r="AF423" s="8"/>
      <c r="AG423" s="55"/>
      <c r="AH423" s="55"/>
      <c r="AI423" s="55"/>
      <c r="AJ423" s="55"/>
      <c r="AK423" s="55"/>
      <c r="AL423" s="8">
        <f>+'Gov Rev'!AI423-'Gov Exp'!AE423+'Gov Exp'!AI423-'Gov Exp'!AK423</f>
        <v>234300</v>
      </c>
      <c r="AM423" s="6" t="str">
        <f>'Gov Rev'!A423</f>
        <v>New Lebanon</v>
      </c>
      <c r="AN423" s="6" t="str">
        <f t="shared" si="19"/>
        <v>New Lebanon</v>
      </c>
      <c r="AO423" s="6" t="b">
        <f t="shared" si="20"/>
        <v>1</v>
      </c>
    </row>
    <row r="424" spans="1:41" x14ac:dyDescent="0.2">
      <c r="A424" s="6" t="s">
        <v>834</v>
      </c>
      <c r="C424" s="6" t="s">
        <v>464</v>
      </c>
      <c r="E424" s="8">
        <v>1190198.27</v>
      </c>
      <c r="G424" s="8">
        <v>36944.61</v>
      </c>
      <c r="I424" s="8">
        <v>13911.3</v>
      </c>
      <c r="K424" s="8">
        <v>0</v>
      </c>
      <c r="M424" s="8">
        <v>0</v>
      </c>
      <c r="O424" s="8">
        <v>206290.64</v>
      </c>
      <c r="Q424" s="8">
        <v>516474.18</v>
      </c>
      <c r="S424" s="8">
        <v>57433.02</v>
      </c>
      <c r="U424" s="8">
        <v>20000</v>
      </c>
      <c r="W424" s="8">
        <v>5015</v>
      </c>
      <c r="Y424" s="8">
        <v>0</v>
      </c>
      <c r="AA424" s="8">
        <v>0</v>
      </c>
      <c r="AC424" s="8">
        <v>0</v>
      </c>
      <c r="AE424" s="8">
        <f t="shared" si="18"/>
        <v>2046267.0200000003</v>
      </c>
      <c r="AF424" s="8"/>
      <c r="AG424" s="55">
        <v>-78096.800000000003</v>
      </c>
      <c r="AH424" s="55"/>
      <c r="AI424" s="55">
        <v>-377777.5</v>
      </c>
      <c r="AJ424" s="55"/>
      <c r="AK424" s="55">
        <v>-455874.3</v>
      </c>
      <c r="AL424" s="8">
        <f>+'Gov Rev'!AI424-'Gov Exp'!AE424+'Gov Exp'!AI424-'Gov Exp'!AK424</f>
        <v>0</v>
      </c>
      <c r="AM424" s="6" t="str">
        <f>'Gov Rev'!A424</f>
        <v>New Lexington</v>
      </c>
      <c r="AN424" s="6" t="str">
        <f t="shared" si="19"/>
        <v>New Lexington</v>
      </c>
      <c r="AO424" s="6" t="b">
        <f t="shared" si="20"/>
        <v>1</v>
      </c>
    </row>
    <row r="425" spans="1:41" hidden="1" x14ac:dyDescent="0.2">
      <c r="A425" s="6" t="s">
        <v>387</v>
      </c>
      <c r="C425" s="6" t="s">
        <v>386</v>
      </c>
      <c r="E425" s="8">
        <v>0</v>
      </c>
      <c r="G425" s="8">
        <v>0</v>
      </c>
      <c r="I425" s="8">
        <v>0</v>
      </c>
      <c r="K425" s="8">
        <v>0</v>
      </c>
      <c r="M425" s="8">
        <v>0</v>
      </c>
      <c r="O425" s="8">
        <v>0</v>
      </c>
      <c r="Q425" s="8">
        <v>0</v>
      </c>
      <c r="S425" s="8">
        <v>0</v>
      </c>
      <c r="U425" s="8">
        <v>0</v>
      </c>
      <c r="W425" s="8">
        <v>0</v>
      </c>
      <c r="Y425" s="8">
        <v>0</v>
      </c>
      <c r="AA425" s="8">
        <v>0</v>
      </c>
      <c r="AC425" s="8">
        <v>0</v>
      </c>
      <c r="AE425" s="8">
        <f t="shared" si="18"/>
        <v>0</v>
      </c>
      <c r="AF425" s="8"/>
      <c r="AG425" s="55">
        <v>2409375.06</v>
      </c>
      <c r="AH425" s="55"/>
      <c r="AI425" s="55">
        <v>991711.4</v>
      </c>
      <c r="AJ425" s="55"/>
      <c r="AK425" s="55">
        <v>3401086.46</v>
      </c>
      <c r="AL425" s="8">
        <f>+'Gov Rev'!AI425-'Gov Exp'!AE425+'Gov Exp'!AI425-'Gov Exp'!AK425</f>
        <v>0</v>
      </c>
      <c r="AM425" s="6" t="str">
        <f>'Gov Rev'!A425</f>
        <v>New London</v>
      </c>
      <c r="AN425" s="6" t="str">
        <f t="shared" si="19"/>
        <v>New London</v>
      </c>
      <c r="AO425" s="6" t="b">
        <f t="shared" si="20"/>
        <v>1</v>
      </c>
    </row>
    <row r="426" spans="1:41" x14ac:dyDescent="0.2">
      <c r="A426" s="6" t="s">
        <v>807</v>
      </c>
      <c r="C426" s="6" t="s">
        <v>480</v>
      </c>
      <c r="E426" s="8">
        <v>205321.24</v>
      </c>
      <c r="G426" s="8">
        <v>970.52</v>
      </c>
      <c r="I426" s="8">
        <v>60163.59</v>
      </c>
      <c r="K426" s="8">
        <v>0</v>
      </c>
      <c r="M426" s="8">
        <v>12119.64</v>
      </c>
      <c r="O426" s="8">
        <v>131685.1</v>
      </c>
      <c r="Q426" s="8">
        <v>270610.84000000003</v>
      </c>
      <c r="S426" s="8">
        <v>881601.39</v>
      </c>
      <c r="U426" s="8">
        <v>52478.22</v>
      </c>
      <c r="W426" s="8">
        <v>11432.33</v>
      </c>
      <c r="Y426" s="8">
        <v>0</v>
      </c>
      <c r="AA426" s="8">
        <v>0</v>
      </c>
      <c r="AC426" s="8">
        <v>0</v>
      </c>
      <c r="AE426" s="8">
        <f t="shared" si="18"/>
        <v>1626382.8699999999</v>
      </c>
      <c r="AF426" s="8"/>
      <c r="AG426" s="55">
        <v>1015051.56</v>
      </c>
      <c r="AH426" s="55"/>
      <c r="AI426" s="55">
        <v>900282</v>
      </c>
      <c r="AJ426" s="55"/>
      <c r="AK426" s="55">
        <v>1915333.56</v>
      </c>
      <c r="AL426" s="8">
        <f>+'Gov Rev'!AI426-'Gov Exp'!AE426+'Gov Exp'!AI426-'Gov Exp'!AK426</f>
        <v>0</v>
      </c>
      <c r="AM426" s="6" t="str">
        <f>'Gov Rev'!A426</f>
        <v>New Miami</v>
      </c>
      <c r="AN426" s="6" t="str">
        <f t="shared" si="19"/>
        <v>New Miami</v>
      </c>
      <c r="AO426" s="6" t="b">
        <f t="shared" si="20"/>
        <v>1</v>
      </c>
    </row>
    <row r="427" spans="1:41" x14ac:dyDescent="0.2">
      <c r="A427" s="6" t="s">
        <v>852</v>
      </c>
      <c r="C427" s="6" t="s">
        <v>429</v>
      </c>
      <c r="E427" s="8">
        <v>491503.61</v>
      </c>
      <c r="G427" s="8">
        <v>7191.5</v>
      </c>
      <c r="I427" s="8">
        <v>2362.4299999999998</v>
      </c>
      <c r="K427" s="8">
        <v>5611.71</v>
      </c>
      <c r="M427" s="8">
        <v>2995.21</v>
      </c>
      <c r="O427" s="8">
        <v>57383.8</v>
      </c>
      <c r="Q427" s="8">
        <v>164269.79999999999</v>
      </c>
      <c r="S427" s="8">
        <v>101010.3</v>
      </c>
      <c r="U427" s="8">
        <v>0</v>
      </c>
      <c r="W427" s="8">
        <v>0</v>
      </c>
      <c r="Y427" s="8">
        <v>75101.7</v>
      </c>
      <c r="AA427" s="8">
        <v>125000</v>
      </c>
      <c r="AC427" s="8">
        <v>0</v>
      </c>
      <c r="AE427" s="8">
        <f t="shared" si="18"/>
        <v>1032430.06</v>
      </c>
      <c r="AF427" s="8"/>
      <c r="AG427" s="55">
        <v>-3687.29</v>
      </c>
      <c r="AH427" s="55"/>
      <c r="AI427" s="55">
        <v>568159.28</v>
      </c>
      <c r="AJ427" s="55"/>
      <c r="AK427" s="55">
        <v>564471.99</v>
      </c>
      <c r="AL427" s="8">
        <f>+'Gov Rev'!AI427-'Gov Exp'!AE427+'Gov Exp'!AI427-'Gov Exp'!AK427</f>
        <v>0</v>
      </c>
      <c r="AM427" s="6" t="str">
        <f>'Gov Rev'!A427</f>
        <v>New Middletown</v>
      </c>
      <c r="AN427" s="6" t="str">
        <f t="shared" si="19"/>
        <v>New Middletown</v>
      </c>
      <c r="AO427" s="6" t="b">
        <f t="shared" si="20"/>
        <v>1</v>
      </c>
    </row>
    <row r="428" spans="1:41" x14ac:dyDescent="0.2">
      <c r="A428" s="6" t="s">
        <v>473</v>
      </c>
      <c r="C428" s="6" t="s">
        <v>472</v>
      </c>
      <c r="E428" s="8">
        <v>143835.04</v>
      </c>
      <c r="G428" s="8">
        <v>750</v>
      </c>
      <c r="I428" s="8">
        <v>0</v>
      </c>
      <c r="K428" s="8">
        <v>3301.53</v>
      </c>
      <c r="M428" s="8">
        <v>0</v>
      </c>
      <c r="O428" s="8">
        <v>64110.73</v>
      </c>
      <c r="Q428" s="8">
        <v>69610.990000000005</v>
      </c>
      <c r="S428" s="8">
        <v>411142.12</v>
      </c>
      <c r="U428" s="8">
        <v>8511.2099999999991</v>
      </c>
      <c r="W428" s="8">
        <v>4367.2</v>
      </c>
      <c r="Y428" s="8">
        <v>130335.94</v>
      </c>
      <c r="AA428" s="8">
        <v>0</v>
      </c>
      <c r="AC428" s="8">
        <v>3000</v>
      </c>
      <c r="AE428" s="8">
        <f t="shared" si="18"/>
        <v>838964.76</v>
      </c>
      <c r="AF428" s="8"/>
      <c r="AG428" s="55">
        <v>-22949.05</v>
      </c>
      <c r="AH428" s="55"/>
      <c r="AI428" s="55">
        <v>146370.60999999999</v>
      </c>
      <c r="AJ428" s="55"/>
      <c r="AK428" s="55">
        <v>123421.56</v>
      </c>
      <c r="AL428" s="8">
        <f>+'Gov Rev'!AI428-'Gov Exp'!AE428+'Gov Exp'!AI428-'Gov Exp'!AK428</f>
        <v>0</v>
      </c>
      <c r="AM428" s="6" t="str">
        <f>'Gov Rev'!A428</f>
        <v>New Paris</v>
      </c>
      <c r="AN428" s="6" t="str">
        <f t="shared" si="19"/>
        <v>New Paris</v>
      </c>
      <c r="AO428" s="6" t="b">
        <f t="shared" si="20"/>
        <v>1</v>
      </c>
    </row>
    <row r="429" spans="1:41" x14ac:dyDescent="0.2">
      <c r="A429" s="6" t="s">
        <v>37</v>
      </c>
      <c r="C429" s="6" t="s">
        <v>277</v>
      </c>
      <c r="E429" s="8">
        <v>1098372.92</v>
      </c>
      <c r="G429" s="8">
        <v>29864.73</v>
      </c>
      <c r="I429" s="8">
        <v>20727.330000000002</v>
      </c>
      <c r="K429" s="8">
        <v>15349.52</v>
      </c>
      <c r="M429" s="8">
        <v>137236.85999999999</v>
      </c>
      <c r="O429" s="8">
        <v>203518.36</v>
      </c>
      <c r="Q429" s="8">
        <v>365204.67</v>
      </c>
      <c r="S429" s="8">
        <v>0</v>
      </c>
      <c r="U429" s="8">
        <v>59056.59</v>
      </c>
      <c r="W429" s="8">
        <v>8070.39</v>
      </c>
      <c r="Y429" s="8">
        <v>210667.78</v>
      </c>
      <c r="AA429" s="8">
        <v>40653.46</v>
      </c>
      <c r="AC429" s="8">
        <v>0</v>
      </c>
      <c r="AE429" s="8">
        <f t="shared" si="18"/>
        <v>2188722.6099999994</v>
      </c>
      <c r="AF429" s="8"/>
      <c r="AG429" s="55">
        <v>243500.98</v>
      </c>
      <c r="AH429" s="55"/>
      <c r="AI429" s="55">
        <v>976390.83</v>
      </c>
      <c r="AJ429" s="55"/>
      <c r="AK429" s="55">
        <v>1219891.81</v>
      </c>
      <c r="AL429" s="8">
        <f>+'Gov Rev'!AI429-'Gov Exp'!AE429+'Gov Exp'!AI429-'Gov Exp'!AK429</f>
        <v>0</v>
      </c>
      <c r="AM429" s="6" t="str">
        <f>'Gov Rev'!A429</f>
        <v>New Richmond</v>
      </c>
      <c r="AN429" s="6" t="str">
        <f t="shared" si="19"/>
        <v>New Richmond</v>
      </c>
      <c r="AO429" s="6" t="b">
        <f t="shared" si="20"/>
        <v>1</v>
      </c>
    </row>
    <row r="430" spans="1:41" x14ac:dyDescent="0.2">
      <c r="A430" s="6" t="s">
        <v>205</v>
      </c>
      <c r="C430" s="6" t="s">
        <v>494</v>
      </c>
      <c r="E430" s="8">
        <v>14865.14</v>
      </c>
      <c r="G430" s="8">
        <v>0</v>
      </c>
      <c r="I430" s="8">
        <v>4642.01</v>
      </c>
      <c r="K430" s="8">
        <v>0</v>
      </c>
      <c r="M430" s="8">
        <v>13601.96</v>
      </c>
      <c r="O430" s="8">
        <v>9913.77</v>
      </c>
      <c r="Q430" s="8">
        <v>71997.3</v>
      </c>
      <c r="S430" s="8">
        <v>0</v>
      </c>
      <c r="U430" s="8">
        <v>0</v>
      </c>
      <c r="W430" s="8">
        <v>0</v>
      </c>
      <c r="Y430" s="8">
        <v>0</v>
      </c>
      <c r="AA430" s="8">
        <v>0</v>
      </c>
      <c r="AC430" s="8">
        <v>0</v>
      </c>
      <c r="AE430" s="8">
        <f t="shared" si="18"/>
        <v>115020.18000000001</v>
      </c>
      <c r="AF430" s="8"/>
      <c r="AG430" s="55">
        <v>14307.16</v>
      </c>
      <c r="AH430" s="55"/>
      <c r="AI430" s="55">
        <v>377826.48</v>
      </c>
      <c r="AJ430" s="55"/>
      <c r="AK430" s="55">
        <v>392133.64</v>
      </c>
      <c r="AL430" s="8">
        <f>+'Gov Rev'!AI430-'Gov Exp'!AE430+'Gov Exp'!AI430-'Gov Exp'!AK430</f>
        <v>0</v>
      </c>
      <c r="AM430" s="6" t="str">
        <f>'Gov Rev'!A430</f>
        <v>New Riegel</v>
      </c>
      <c r="AN430" s="6" t="str">
        <f t="shared" si="19"/>
        <v>New Riegel</v>
      </c>
      <c r="AO430" s="6" t="b">
        <f t="shared" si="20"/>
        <v>1</v>
      </c>
    </row>
    <row r="431" spans="1:41" x14ac:dyDescent="0.2">
      <c r="A431" s="6" t="s">
        <v>649</v>
      </c>
      <c r="C431" s="6" t="s">
        <v>464</v>
      </c>
      <c r="E431" s="8">
        <v>114674.17</v>
      </c>
      <c r="G431" s="8">
        <v>0</v>
      </c>
      <c r="I431" s="8">
        <v>6273.79</v>
      </c>
      <c r="K431" s="8">
        <v>0</v>
      </c>
      <c r="M431" s="8">
        <v>0</v>
      </c>
      <c r="O431" s="8">
        <v>1942.27</v>
      </c>
      <c r="Q431" s="8">
        <v>93276.55</v>
      </c>
      <c r="S431" s="8">
        <v>0</v>
      </c>
      <c r="U431" s="8">
        <v>0</v>
      </c>
      <c r="W431" s="8">
        <v>0</v>
      </c>
      <c r="Y431" s="8">
        <v>24691.45</v>
      </c>
      <c r="AA431" s="8">
        <v>0</v>
      </c>
      <c r="AC431" s="8">
        <v>0</v>
      </c>
      <c r="AE431" s="8">
        <f t="shared" si="18"/>
        <v>240858.23</v>
      </c>
      <c r="AF431" s="8"/>
      <c r="AG431" s="55">
        <v>-16789.68</v>
      </c>
      <c r="AH431" s="55"/>
      <c r="AI431" s="55">
        <v>81072.649999999994</v>
      </c>
      <c r="AJ431" s="55"/>
      <c r="AK431" s="55">
        <v>64282.97</v>
      </c>
      <c r="AL431" s="8">
        <f>+'Gov Rev'!AI431-'Gov Exp'!AE431+'Gov Exp'!AI431-'Gov Exp'!AK431</f>
        <v>0</v>
      </c>
      <c r="AM431" s="6" t="str">
        <f>'Gov Rev'!A431</f>
        <v>New Straitsville</v>
      </c>
      <c r="AN431" s="6" t="str">
        <f t="shared" si="19"/>
        <v>New Straitsville</v>
      </c>
      <c r="AO431" s="6" t="b">
        <f t="shared" si="20"/>
        <v>1</v>
      </c>
    </row>
    <row r="432" spans="1:41" x14ac:dyDescent="0.2">
      <c r="A432" s="6" t="s">
        <v>40</v>
      </c>
      <c r="C432" s="6" t="s">
        <v>280</v>
      </c>
      <c r="E432" s="8">
        <v>59900.11</v>
      </c>
      <c r="G432" s="8">
        <v>0</v>
      </c>
      <c r="I432" s="8">
        <v>0</v>
      </c>
      <c r="K432" s="8">
        <v>0</v>
      </c>
      <c r="M432" s="8">
        <v>1169.3499999999999</v>
      </c>
      <c r="O432" s="8">
        <v>32604.76</v>
      </c>
      <c r="Q432" s="8">
        <v>71512.19</v>
      </c>
      <c r="S432" s="8">
        <v>438837.48</v>
      </c>
      <c r="U432" s="8">
        <v>0</v>
      </c>
      <c r="W432" s="8">
        <v>0</v>
      </c>
      <c r="Y432" s="8">
        <v>0</v>
      </c>
      <c r="AA432" s="8">
        <v>12000</v>
      </c>
      <c r="AC432" s="8">
        <v>0</v>
      </c>
      <c r="AE432" s="8">
        <f t="shared" si="18"/>
        <v>616023.89</v>
      </c>
      <c r="AF432" s="8"/>
      <c r="AG432" s="55">
        <v>17473.080000000002</v>
      </c>
      <c r="AH432" s="55"/>
      <c r="AI432" s="55">
        <v>173331.22</v>
      </c>
      <c r="AJ432" s="55"/>
      <c r="AK432" s="55">
        <v>190804.3</v>
      </c>
      <c r="AL432" s="8">
        <f>+'Gov Rev'!AI432-'Gov Exp'!AE432+'Gov Exp'!AI432-'Gov Exp'!AK432</f>
        <v>0</v>
      </c>
      <c r="AM432" s="6" t="str">
        <f>'Gov Rev'!A432</f>
        <v>New Vienna</v>
      </c>
      <c r="AN432" s="6" t="str">
        <f t="shared" si="19"/>
        <v>New Vienna</v>
      </c>
      <c r="AO432" s="6" t="b">
        <f t="shared" si="20"/>
        <v>1</v>
      </c>
    </row>
    <row r="433" spans="1:41" x14ac:dyDescent="0.2">
      <c r="A433" s="6" t="s">
        <v>290</v>
      </c>
      <c r="C433" s="6" t="s">
        <v>289</v>
      </c>
      <c r="E433" s="8">
        <v>125929.76</v>
      </c>
      <c r="G433" s="8">
        <v>1726.68</v>
      </c>
      <c r="I433" s="8">
        <v>39453.57</v>
      </c>
      <c r="K433" s="8">
        <v>804</v>
      </c>
      <c r="M433" s="8">
        <v>0</v>
      </c>
      <c r="O433" s="8">
        <v>155042.13</v>
      </c>
      <c r="Q433" s="8">
        <v>192877.28</v>
      </c>
      <c r="S433" s="8">
        <v>4016</v>
      </c>
      <c r="U433" s="8">
        <v>0</v>
      </c>
      <c r="W433" s="8">
        <v>0</v>
      </c>
      <c r="Y433" s="8">
        <v>131000</v>
      </c>
      <c r="AA433" s="8">
        <v>0</v>
      </c>
      <c r="AC433" s="8">
        <v>0</v>
      </c>
      <c r="AE433" s="8">
        <f t="shared" si="18"/>
        <v>650849.42000000004</v>
      </c>
      <c r="AF433" s="8"/>
      <c r="AG433" s="55">
        <v>128853.38</v>
      </c>
      <c r="AH433" s="55"/>
      <c r="AI433" s="55">
        <v>744452.04</v>
      </c>
      <c r="AJ433" s="55"/>
      <c r="AK433" s="55">
        <v>873305.42</v>
      </c>
      <c r="AL433" s="8">
        <f>+'Gov Rev'!AI433-'Gov Exp'!AE433+'Gov Exp'!AI433-'Gov Exp'!AK433</f>
        <v>0</v>
      </c>
      <c r="AM433" s="6" t="str">
        <f>'Gov Rev'!A433</f>
        <v>New Washington</v>
      </c>
      <c r="AN433" s="6" t="str">
        <f t="shared" si="19"/>
        <v>New Washington</v>
      </c>
      <c r="AO433" s="6" t="b">
        <f t="shared" si="20"/>
        <v>1</v>
      </c>
    </row>
    <row r="434" spans="1:41" x14ac:dyDescent="0.2">
      <c r="A434" s="6" t="s">
        <v>724</v>
      </c>
      <c r="C434" s="6" t="s">
        <v>283</v>
      </c>
      <c r="E434" s="8">
        <v>308625.32</v>
      </c>
      <c r="G434" s="8">
        <v>0</v>
      </c>
      <c r="I434" s="8">
        <v>6321.94</v>
      </c>
      <c r="K434" s="8">
        <v>0</v>
      </c>
      <c r="M434" s="8">
        <v>0</v>
      </c>
      <c r="O434" s="8">
        <v>92962.2</v>
      </c>
      <c r="Q434" s="8">
        <v>145049.01</v>
      </c>
      <c r="S434" s="8">
        <v>90117.55</v>
      </c>
      <c r="U434" s="8">
        <v>0</v>
      </c>
      <c r="W434" s="8">
        <v>0</v>
      </c>
      <c r="Y434" s="8">
        <v>15000</v>
      </c>
      <c r="AA434" s="8">
        <v>20000</v>
      </c>
      <c r="AC434" s="8">
        <v>0</v>
      </c>
      <c r="AE434" s="8">
        <f t="shared" si="18"/>
        <v>678076.02</v>
      </c>
      <c r="AF434" s="8"/>
      <c r="AG434" s="55">
        <v>-32742.28</v>
      </c>
      <c r="AH434" s="55"/>
      <c r="AI434" s="55">
        <v>291668.73</v>
      </c>
      <c r="AJ434" s="55"/>
      <c r="AK434" s="55">
        <v>258926.45</v>
      </c>
      <c r="AL434" s="8">
        <f>+'Gov Rev'!AI434-'Gov Exp'!AE434+'Gov Exp'!AI434-'Gov Exp'!AK434</f>
        <v>0</v>
      </c>
      <c r="AM434" s="6" t="str">
        <f>'Gov Rev'!A434</f>
        <v>New Waterford</v>
      </c>
      <c r="AN434" s="6" t="str">
        <f t="shared" si="19"/>
        <v>New Waterford</v>
      </c>
      <c r="AO434" s="6" t="b">
        <f t="shared" si="20"/>
        <v>1</v>
      </c>
    </row>
    <row r="435" spans="1:41" x14ac:dyDescent="0.2">
      <c r="A435" s="6" t="s">
        <v>310</v>
      </c>
      <c r="C435" s="6" t="s">
        <v>306</v>
      </c>
      <c r="E435" s="8">
        <v>8249</v>
      </c>
      <c r="G435" s="8">
        <v>570</v>
      </c>
      <c r="I435" s="8">
        <v>2200</v>
      </c>
      <c r="K435" s="8">
        <v>0</v>
      </c>
      <c r="M435" s="8">
        <v>9738</v>
      </c>
      <c r="O435" s="8">
        <v>760</v>
      </c>
      <c r="Q435" s="8">
        <v>12940</v>
      </c>
      <c r="S435" s="8">
        <v>0</v>
      </c>
      <c r="U435" s="8">
        <v>30345</v>
      </c>
      <c r="W435" s="8">
        <v>0</v>
      </c>
      <c r="Y435" s="8">
        <v>0</v>
      </c>
      <c r="AA435" s="8">
        <v>0</v>
      </c>
      <c r="AC435" s="8">
        <v>0</v>
      </c>
      <c r="AE435" s="8">
        <f t="shared" si="18"/>
        <v>64802</v>
      </c>
      <c r="AF435" s="8"/>
      <c r="AG435" s="55"/>
      <c r="AH435" s="55"/>
      <c r="AI435" s="55"/>
      <c r="AJ435" s="55"/>
      <c r="AK435" s="55"/>
      <c r="AL435" s="8">
        <f>+'Gov Rev'!AI435-'Gov Exp'!AE435+'Gov Exp'!AI435-'Gov Exp'!AK435</f>
        <v>-3113</v>
      </c>
      <c r="AM435" s="6" t="str">
        <f>'Gov Rev'!A435</f>
        <v>New Weston</v>
      </c>
      <c r="AN435" s="6" t="str">
        <f t="shared" si="19"/>
        <v>New Weston</v>
      </c>
      <c r="AO435" s="6" t="b">
        <f t="shared" si="20"/>
        <v>1</v>
      </c>
    </row>
    <row r="436" spans="1:41" x14ac:dyDescent="0.2">
      <c r="A436" s="6" t="s">
        <v>301</v>
      </c>
      <c r="C436" s="6" t="s">
        <v>293</v>
      </c>
      <c r="E436" s="8">
        <v>1358882</v>
      </c>
      <c r="G436" s="8">
        <v>2051</v>
      </c>
      <c r="I436" s="8">
        <v>17514</v>
      </c>
      <c r="K436" s="8">
        <v>3723</v>
      </c>
      <c r="M436" s="8">
        <v>130697</v>
      </c>
      <c r="O436" s="8">
        <v>310952</v>
      </c>
      <c r="Q436" s="8">
        <v>1353703</v>
      </c>
      <c r="S436" s="8">
        <v>0</v>
      </c>
      <c r="U436" s="8">
        <v>370000</v>
      </c>
      <c r="W436" s="8">
        <v>10213</v>
      </c>
      <c r="Y436" s="8">
        <v>126223</v>
      </c>
      <c r="AA436" s="8">
        <v>0</v>
      </c>
      <c r="AC436" s="8">
        <v>0</v>
      </c>
      <c r="AE436" s="8">
        <f t="shared" si="18"/>
        <v>3683958</v>
      </c>
      <c r="AF436" s="8"/>
      <c r="AG436" s="55"/>
      <c r="AH436" s="55"/>
      <c r="AI436" s="55"/>
      <c r="AJ436" s="55"/>
      <c r="AK436" s="55"/>
      <c r="AL436" s="8">
        <f>+'Gov Rev'!AI436-'Gov Exp'!AE436+'Gov Exp'!AI436-'Gov Exp'!AK436</f>
        <v>222702</v>
      </c>
      <c r="AM436" s="6" t="str">
        <f>'Gov Rev'!A436</f>
        <v>Newburgh Heights</v>
      </c>
      <c r="AN436" s="6" t="str">
        <f t="shared" si="19"/>
        <v>Newburgh Heights</v>
      </c>
      <c r="AO436" s="6" t="b">
        <f t="shared" si="20"/>
        <v>1</v>
      </c>
    </row>
    <row r="437" spans="1:41" x14ac:dyDescent="0.2">
      <c r="A437" s="6" t="s">
        <v>525</v>
      </c>
      <c r="C437" s="6" t="s">
        <v>521</v>
      </c>
      <c r="E437" s="8">
        <v>528524</v>
      </c>
      <c r="G437" s="8">
        <v>48611</v>
      </c>
      <c r="I437" s="8">
        <v>26150</v>
      </c>
      <c r="K437" s="8">
        <v>0</v>
      </c>
      <c r="M437" s="8">
        <v>2710</v>
      </c>
      <c r="O437" s="8">
        <v>199542</v>
      </c>
      <c r="Q437" s="8">
        <v>280041</v>
      </c>
      <c r="S437" s="8">
        <v>28159</v>
      </c>
      <c r="U437" s="8">
        <v>10003</v>
      </c>
      <c r="W437" s="8">
        <v>0</v>
      </c>
      <c r="Y437" s="8">
        <v>0</v>
      </c>
      <c r="AA437" s="8">
        <v>0</v>
      </c>
      <c r="AC437" s="8">
        <v>0</v>
      </c>
      <c r="AE437" s="8">
        <f t="shared" si="18"/>
        <v>1123740</v>
      </c>
      <c r="AF437" s="8"/>
      <c r="AG437" s="55"/>
      <c r="AH437" s="55"/>
      <c r="AI437" s="55"/>
      <c r="AJ437" s="55"/>
      <c r="AK437" s="55"/>
      <c r="AL437" s="8">
        <f>+'Gov Rev'!AI437-'Gov Exp'!AE437+'Gov Exp'!AI437-'Gov Exp'!AK437</f>
        <v>880279</v>
      </c>
      <c r="AM437" s="6" t="str">
        <f>'Gov Rev'!A437</f>
        <v>Newcomerstown</v>
      </c>
      <c r="AN437" s="6" t="str">
        <f t="shared" si="19"/>
        <v>Newcomerstown</v>
      </c>
      <c r="AO437" s="6" t="b">
        <f t="shared" si="20"/>
        <v>1</v>
      </c>
    </row>
    <row r="438" spans="1:41" x14ac:dyDescent="0.2">
      <c r="A438" s="6" t="s">
        <v>817</v>
      </c>
      <c r="C438" s="6" t="s">
        <v>695</v>
      </c>
      <c r="E438" s="8">
        <v>1037261</v>
      </c>
      <c r="G438" s="8">
        <v>0</v>
      </c>
      <c r="I438" s="8">
        <v>114097</v>
      </c>
      <c r="K438" s="8">
        <v>257937</v>
      </c>
      <c r="M438" s="8">
        <v>0</v>
      </c>
      <c r="O438" s="8">
        <v>450722</v>
      </c>
      <c r="Q438" s="8">
        <v>1485791</v>
      </c>
      <c r="S438" s="8">
        <v>155828</v>
      </c>
      <c r="U438" s="8">
        <v>409</v>
      </c>
      <c r="W438" s="8">
        <v>631</v>
      </c>
      <c r="Y438" s="8">
        <v>933872</v>
      </c>
      <c r="AA438" s="8">
        <v>3000</v>
      </c>
      <c r="AC438" s="8">
        <v>0</v>
      </c>
      <c r="AE438" s="8">
        <f t="shared" si="18"/>
        <v>4439548</v>
      </c>
      <c r="AF438" s="8"/>
      <c r="AG438" s="55"/>
      <c r="AH438" s="55"/>
      <c r="AI438" s="55"/>
      <c r="AJ438" s="55"/>
      <c r="AK438" s="55"/>
      <c r="AL438" s="8">
        <f>+'Gov Rev'!AI438-'Gov Exp'!AE438+'Gov Exp'!AI438-'Gov Exp'!AK438</f>
        <v>135458</v>
      </c>
      <c r="AM438" s="6" t="str">
        <f>'Gov Rev'!A438</f>
        <v>Newton Falls</v>
      </c>
      <c r="AN438" s="6" t="str">
        <f t="shared" si="19"/>
        <v>Newton Falls</v>
      </c>
      <c r="AO438" s="6" t="b">
        <f t="shared" si="20"/>
        <v>1</v>
      </c>
    </row>
    <row r="439" spans="1:41" x14ac:dyDescent="0.2">
      <c r="A439" s="6" t="s">
        <v>91</v>
      </c>
      <c r="C439" s="6" t="s">
        <v>351</v>
      </c>
      <c r="E439" s="8">
        <v>741609.75</v>
      </c>
      <c r="G439" s="8">
        <v>1507.3</v>
      </c>
      <c r="I439" s="8">
        <v>34114.129999999997</v>
      </c>
      <c r="K439" s="8">
        <v>0</v>
      </c>
      <c r="M439" s="8">
        <v>115199.92</v>
      </c>
      <c r="O439" s="8">
        <v>225561.36</v>
      </c>
      <c r="Q439" s="8">
        <v>610026.35</v>
      </c>
      <c r="S439" s="8">
        <v>1116887.06</v>
      </c>
      <c r="U439" s="8">
        <v>82601.64</v>
      </c>
      <c r="W439" s="8">
        <v>21270.41</v>
      </c>
      <c r="Y439" s="8">
        <v>397013.09</v>
      </c>
      <c r="AA439" s="8">
        <v>382406.76</v>
      </c>
      <c r="AC439" s="8">
        <v>24399</v>
      </c>
      <c r="AE439" s="8">
        <f t="shared" si="18"/>
        <v>3752596.7700000005</v>
      </c>
      <c r="AF439" s="8"/>
      <c r="AG439" s="55">
        <v>-499406.15</v>
      </c>
      <c r="AH439" s="55"/>
      <c r="AI439" s="55">
        <v>2116436.21</v>
      </c>
      <c r="AJ439" s="55"/>
      <c r="AK439" s="55">
        <v>1617030.06</v>
      </c>
      <c r="AL439" s="8">
        <f>+'Gov Rev'!AI439-'Gov Exp'!AE439+'Gov Exp'!AI439-'Gov Exp'!AK439</f>
        <v>0</v>
      </c>
      <c r="AM439" s="6" t="str">
        <f>'Gov Rev'!A439</f>
        <v>Newtown</v>
      </c>
      <c r="AN439" s="6" t="str">
        <f t="shared" si="19"/>
        <v>Newtown</v>
      </c>
      <c r="AO439" s="6" t="b">
        <f t="shared" si="20"/>
        <v>1</v>
      </c>
    </row>
    <row r="440" spans="1:41" x14ac:dyDescent="0.2">
      <c r="A440" s="6" t="s">
        <v>50</v>
      </c>
      <c r="C440" s="6" t="s">
        <v>319</v>
      </c>
      <c r="E440" s="8">
        <v>25548.33</v>
      </c>
      <c r="G440" s="8">
        <v>0</v>
      </c>
      <c r="I440" s="8">
        <v>421.76</v>
      </c>
      <c r="K440" s="8">
        <v>0</v>
      </c>
      <c r="M440" s="8">
        <v>360</v>
      </c>
      <c r="O440" s="8">
        <v>37291.449999999997</v>
      </c>
      <c r="Q440" s="8">
        <v>58573.34</v>
      </c>
      <c r="S440" s="8">
        <v>6750.27</v>
      </c>
      <c r="U440" s="8">
        <v>0</v>
      </c>
      <c r="W440" s="8">
        <v>0</v>
      </c>
      <c r="Y440" s="8">
        <v>0</v>
      </c>
      <c r="AA440" s="8">
        <v>0</v>
      </c>
      <c r="AC440" s="8">
        <v>0</v>
      </c>
      <c r="AE440" s="8">
        <f t="shared" si="18"/>
        <v>128945.15</v>
      </c>
      <c r="AF440" s="8"/>
      <c r="AG440" s="55">
        <v>-40536.21</v>
      </c>
      <c r="AH440" s="55"/>
      <c r="AI440" s="55">
        <v>144825.28</v>
      </c>
      <c r="AJ440" s="55"/>
      <c r="AK440" s="55">
        <v>104289.07</v>
      </c>
      <c r="AL440" s="8">
        <f>+'Gov Rev'!AI440-'Gov Exp'!AE440+'Gov Exp'!AI440-'Gov Exp'!AK440</f>
        <v>0</v>
      </c>
      <c r="AM440" s="6" t="str">
        <f>'Gov Rev'!A440</f>
        <v>Ney</v>
      </c>
      <c r="AN440" s="6" t="str">
        <f t="shared" si="19"/>
        <v>Ney</v>
      </c>
      <c r="AO440" s="6" t="b">
        <f t="shared" si="20"/>
        <v>1</v>
      </c>
    </row>
    <row r="441" spans="1:41" x14ac:dyDescent="0.2">
      <c r="A441" s="6" t="s">
        <v>562</v>
      </c>
      <c r="C441" s="6" t="s">
        <v>558</v>
      </c>
      <c r="E441" s="8">
        <v>777743</v>
      </c>
      <c r="G441" s="8">
        <v>74445</v>
      </c>
      <c r="I441" s="8">
        <v>46251</v>
      </c>
      <c r="K441" s="8">
        <v>5123</v>
      </c>
      <c r="M441" s="8">
        <v>60379</v>
      </c>
      <c r="O441" s="8">
        <v>314006</v>
      </c>
      <c r="Q441" s="8">
        <v>288569</v>
      </c>
      <c r="S441" s="8">
        <v>469992</v>
      </c>
      <c r="U441" s="8">
        <v>251576</v>
      </c>
      <c r="W441" s="8">
        <v>182134</v>
      </c>
      <c r="Y441" s="8">
        <v>196400</v>
      </c>
      <c r="AA441" s="8">
        <v>0</v>
      </c>
      <c r="AC441" s="8">
        <v>0</v>
      </c>
      <c r="AE441" s="8">
        <f t="shared" si="18"/>
        <v>2666618</v>
      </c>
      <c r="AF441" s="8"/>
      <c r="AG441" s="55"/>
      <c r="AH441" s="55"/>
      <c r="AI441" s="55"/>
      <c r="AJ441" s="55"/>
      <c r="AK441" s="55"/>
      <c r="AL441" s="8">
        <f>+'Gov Rev'!AI441-'Gov Exp'!AE441+'Gov Exp'!AI441-'Gov Exp'!AK441</f>
        <v>271911</v>
      </c>
      <c r="AM441" s="6" t="str">
        <f>'Gov Rev'!A441</f>
        <v>North Baltimore</v>
      </c>
      <c r="AN441" s="6" t="str">
        <f t="shared" si="19"/>
        <v>North Baltimore</v>
      </c>
      <c r="AO441" s="6" t="b">
        <f t="shared" si="20"/>
        <v>1</v>
      </c>
    </row>
    <row r="442" spans="1:41" x14ac:dyDescent="0.2">
      <c r="A442" s="6" t="s">
        <v>92</v>
      </c>
      <c r="C442" s="6" t="s">
        <v>351</v>
      </c>
      <c r="E442" s="8">
        <v>198790.78</v>
      </c>
      <c r="G442" s="8">
        <v>1068.02</v>
      </c>
      <c r="I442" s="8">
        <v>8483.02</v>
      </c>
      <c r="K442" s="8">
        <v>4081.13</v>
      </c>
      <c r="M442" s="8">
        <v>9489.51</v>
      </c>
      <c r="O442" s="8">
        <v>83762.52</v>
      </c>
      <c r="Q442" s="8">
        <v>138523.43</v>
      </c>
      <c r="S442" s="8">
        <v>7000</v>
      </c>
      <c r="U442" s="8">
        <v>7389.3</v>
      </c>
      <c r="W442" s="8">
        <v>0</v>
      </c>
      <c r="Y442" s="8">
        <v>89389.3</v>
      </c>
      <c r="AA442" s="8">
        <v>0</v>
      </c>
      <c r="AC442" s="8">
        <v>12600.58</v>
      </c>
      <c r="AE442" s="8">
        <f t="shared" si="18"/>
        <v>560577.59</v>
      </c>
      <c r="AF442" s="8"/>
      <c r="AG442" s="55">
        <v>90643.42</v>
      </c>
      <c r="AH442" s="55"/>
      <c r="AI442" s="55">
        <v>871910.87</v>
      </c>
      <c r="AJ442" s="55"/>
      <c r="AK442" s="55">
        <v>962554.29</v>
      </c>
      <c r="AL442" s="8">
        <f>+'Gov Rev'!AI442-'Gov Exp'!AE442+'Gov Exp'!AI442-'Gov Exp'!AK442</f>
        <v>0</v>
      </c>
      <c r="AM442" s="6" t="str">
        <f>'Gov Rev'!A442</f>
        <v>North Bend</v>
      </c>
      <c r="AN442" s="6" t="str">
        <f t="shared" si="19"/>
        <v>North Bend</v>
      </c>
      <c r="AO442" s="6" t="b">
        <f t="shared" si="20"/>
        <v>1</v>
      </c>
    </row>
    <row r="443" spans="1:41" x14ac:dyDescent="0.2">
      <c r="A443" s="6" t="s">
        <v>388</v>
      </c>
      <c r="C443" s="6" t="s">
        <v>386</v>
      </c>
      <c r="E443" s="8">
        <v>9736.7199999999993</v>
      </c>
      <c r="G443" s="8">
        <v>0</v>
      </c>
      <c r="I443" s="8">
        <v>5194.96</v>
      </c>
      <c r="K443" s="8">
        <v>5173.92</v>
      </c>
      <c r="M443" s="8">
        <v>19526.55</v>
      </c>
      <c r="O443" s="8">
        <v>40615.99</v>
      </c>
      <c r="Q443" s="8">
        <v>76793.88</v>
      </c>
      <c r="S443" s="8">
        <v>0</v>
      </c>
      <c r="U443" s="8">
        <v>0</v>
      </c>
      <c r="W443" s="8">
        <v>0</v>
      </c>
      <c r="Y443" s="8">
        <v>0</v>
      </c>
      <c r="AA443" s="8">
        <v>0</v>
      </c>
      <c r="AC443" s="8">
        <v>0</v>
      </c>
      <c r="AE443" s="8">
        <f t="shared" si="18"/>
        <v>157042.01999999999</v>
      </c>
      <c r="AF443" s="8"/>
      <c r="AG443" s="55">
        <v>-44553.39</v>
      </c>
      <c r="AH443" s="55"/>
      <c r="AI443" s="55">
        <v>193051.67</v>
      </c>
      <c r="AJ443" s="55"/>
      <c r="AK443" s="55">
        <v>148498.28</v>
      </c>
      <c r="AL443" s="8">
        <f>+'Gov Rev'!AI443-'Gov Exp'!AE443+'Gov Exp'!AI443-'Gov Exp'!AK443</f>
        <v>0</v>
      </c>
      <c r="AM443" s="6" t="str">
        <f>'Gov Rev'!A443</f>
        <v>North Fairfield</v>
      </c>
      <c r="AN443" s="6" t="str">
        <f t="shared" si="19"/>
        <v>North Fairfield</v>
      </c>
      <c r="AO443" s="6" t="b">
        <f t="shared" si="20"/>
        <v>1</v>
      </c>
    </row>
    <row r="444" spans="1:41" x14ac:dyDescent="0.2">
      <c r="A444" s="6" t="s">
        <v>275</v>
      </c>
      <c r="C444" s="6" t="s">
        <v>274</v>
      </c>
      <c r="E444" s="8">
        <v>174583.31</v>
      </c>
      <c r="G444" s="8">
        <v>0</v>
      </c>
      <c r="I444" s="8">
        <v>4778.8999999999996</v>
      </c>
      <c r="K444" s="8">
        <v>0</v>
      </c>
      <c r="M444" s="8">
        <v>0</v>
      </c>
      <c r="O444" s="8">
        <v>15435.18</v>
      </c>
      <c r="Q444" s="8">
        <v>89750.21</v>
      </c>
      <c r="S444" s="8">
        <v>0</v>
      </c>
      <c r="U444" s="8">
        <v>0</v>
      </c>
      <c r="W444" s="8">
        <v>0</v>
      </c>
      <c r="Y444" s="8">
        <v>0</v>
      </c>
      <c r="AA444" s="8">
        <v>0</v>
      </c>
      <c r="AC444" s="8">
        <v>0</v>
      </c>
      <c r="AE444" s="8">
        <f t="shared" si="18"/>
        <v>284547.59999999998</v>
      </c>
      <c r="AF444" s="8"/>
      <c r="AG444" s="55">
        <v>493.53</v>
      </c>
      <c r="AH444" s="55"/>
      <c r="AI444" s="55">
        <v>117000.31</v>
      </c>
      <c r="AJ444" s="55"/>
      <c r="AK444" s="55">
        <v>117493.84</v>
      </c>
      <c r="AL444" s="8">
        <f>+'Gov Rev'!AI444-'Gov Exp'!AE444+'Gov Exp'!AI444-'Gov Exp'!AK444</f>
        <v>0</v>
      </c>
      <c r="AM444" s="6" t="str">
        <f>'Gov Rev'!A444</f>
        <v>North Hampton</v>
      </c>
      <c r="AN444" s="6" t="str">
        <f t="shared" si="19"/>
        <v>North Hampton</v>
      </c>
      <c r="AO444" s="6" t="b">
        <f t="shared" si="20"/>
        <v>1</v>
      </c>
    </row>
    <row r="445" spans="1:41" x14ac:dyDescent="0.2">
      <c r="A445" s="6" t="s">
        <v>635</v>
      </c>
      <c r="C445" s="6" t="s">
        <v>624</v>
      </c>
      <c r="E445" s="8">
        <v>600100.78</v>
      </c>
      <c r="G445" s="8">
        <v>36271.33</v>
      </c>
      <c r="I445" s="8">
        <v>11100.06</v>
      </c>
      <c r="K445" s="8">
        <v>3640.59</v>
      </c>
      <c r="M445" s="8">
        <v>0</v>
      </c>
      <c r="O445" s="8">
        <v>299069.31</v>
      </c>
      <c r="Q445" s="8">
        <v>414088.73</v>
      </c>
      <c r="S445" s="8">
        <v>105812.69</v>
      </c>
      <c r="U445" s="8">
        <v>81737.16</v>
      </c>
      <c r="W445" s="8">
        <v>12718.27</v>
      </c>
      <c r="Y445" s="8">
        <v>107723.06</v>
      </c>
      <c r="AA445" s="8">
        <v>75620</v>
      </c>
      <c r="AC445" s="8">
        <v>0</v>
      </c>
      <c r="AE445" s="8">
        <f t="shared" si="18"/>
        <v>1747881.98</v>
      </c>
      <c r="AF445" s="8"/>
      <c r="AG445" s="55">
        <v>-40256.11</v>
      </c>
      <c r="AH445" s="55"/>
      <c r="AI445" s="55">
        <v>1073188.92</v>
      </c>
      <c r="AJ445" s="55"/>
      <c r="AK445" s="55">
        <v>1032932.81</v>
      </c>
      <c r="AL445" s="8">
        <f>+'Gov Rev'!AI445-'Gov Exp'!AE445+'Gov Exp'!AI445-'Gov Exp'!AK445</f>
        <v>0</v>
      </c>
      <c r="AM445" s="6" t="str">
        <f>'Gov Rev'!A445</f>
        <v>North Kingsville</v>
      </c>
      <c r="AN445" s="6" t="str">
        <f t="shared" si="19"/>
        <v>North Kingsville</v>
      </c>
      <c r="AO445" s="6" t="b">
        <f t="shared" si="20"/>
        <v>1</v>
      </c>
    </row>
    <row r="446" spans="1:41" x14ac:dyDescent="0.2">
      <c r="A446" s="6" t="s">
        <v>271</v>
      </c>
      <c r="C446" s="6" t="s">
        <v>269</v>
      </c>
      <c r="E446" s="8">
        <v>124733.43</v>
      </c>
      <c r="G446" s="8">
        <v>46.62</v>
      </c>
      <c r="I446" s="8">
        <v>5393.71</v>
      </c>
      <c r="K446" s="8">
        <v>0</v>
      </c>
      <c r="M446" s="8">
        <v>9000</v>
      </c>
      <c r="O446" s="8">
        <v>63460.4</v>
      </c>
      <c r="Q446" s="8">
        <v>145623.48000000001</v>
      </c>
      <c r="S446" s="8">
        <v>9098</v>
      </c>
      <c r="U446" s="8">
        <v>0</v>
      </c>
      <c r="W446" s="8">
        <v>0</v>
      </c>
      <c r="Y446" s="8">
        <v>0</v>
      </c>
      <c r="AA446" s="8">
        <v>0</v>
      </c>
      <c r="AC446" s="8">
        <v>7636.72</v>
      </c>
      <c r="AE446" s="8">
        <f t="shared" si="18"/>
        <v>364992.36</v>
      </c>
      <c r="AF446" s="8"/>
      <c r="AG446" s="55">
        <v>55882.65</v>
      </c>
      <c r="AH446" s="55"/>
      <c r="AI446" s="55">
        <v>519076.16</v>
      </c>
      <c r="AJ446" s="55"/>
      <c r="AK446" s="55">
        <v>574958.81000000006</v>
      </c>
      <c r="AL446" s="8">
        <f>+'Gov Rev'!AI446-'Gov Exp'!AE446+'Gov Exp'!AI446-'Gov Exp'!AK446</f>
        <v>0</v>
      </c>
      <c r="AM446" s="6" t="str">
        <f>'Gov Rev'!A446</f>
        <v>North Lewisburg</v>
      </c>
      <c r="AN446" s="6" t="str">
        <f t="shared" si="19"/>
        <v>North Lewisburg</v>
      </c>
      <c r="AO446" s="6" t="b">
        <f t="shared" si="20"/>
        <v>1</v>
      </c>
    </row>
    <row r="447" spans="1:41" x14ac:dyDescent="0.2">
      <c r="A447" s="6" t="s">
        <v>116</v>
      </c>
      <c r="C447" s="6" t="s">
        <v>399</v>
      </c>
      <c r="E447" s="8">
        <v>322076.44</v>
      </c>
      <c r="G447" s="8">
        <v>74704</v>
      </c>
      <c r="I447" s="8">
        <v>830021.11</v>
      </c>
      <c r="K447" s="8">
        <v>22026.52</v>
      </c>
      <c r="M447" s="8">
        <v>270335.15999999997</v>
      </c>
      <c r="O447" s="8">
        <v>96101.39</v>
      </c>
      <c r="Q447" s="8">
        <v>476700.63</v>
      </c>
      <c r="S447" s="8">
        <v>312038.31</v>
      </c>
      <c r="U447" s="8">
        <v>585000</v>
      </c>
      <c r="W447" s="8">
        <v>80312.5</v>
      </c>
      <c r="Y447" s="8">
        <v>665312.5</v>
      </c>
      <c r="AA447" s="8">
        <v>0</v>
      </c>
      <c r="AC447" s="8">
        <v>0</v>
      </c>
      <c r="AE447" s="8">
        <f t="shared" si="18"/>
        <v>3734628.56</v>
      </c>
      <c r="AF447" s="8"/>
      <c r="AG447" s="55">
        <v>-301490.15000000002</v>
      </c>
      <c r="AH447" s="55"/>
      <c r="AI447" s="55">
        <v>12399596.34</v>
      </c>
      <c r="AJ447" s="55"/>
      <c r="AK447" s="55">
        <v>12098106.189999999</v>
      </c>
      <c r="AL447" s="8">
        <f>+'Gov Rev'!AI447-'Gov Exp'!AE447+'Gov Exp'!AI447-'Gov Exp'!AK447</f>
        <v>0</v>
      </c>
      <c r="AM447" s="6" t="str">
        <f>'Gov Rev'!A447</f>
        <v>North Perry</v>
      </c>
      <c r="AN447" s="6" t="str">
        <f t="shared" si="19"/>
        <v>North Perry</v>
      </c>
      <c r="AO447" s="6" t="b">
        <f t="shared" si="20"/>
        <v>1</v>
      </c>
    </row>
    <row r="448" spans="1:41" ht="12.75" x14ac:dyDescent="0.2">
      <c r="A448" s="6" t="s">
        <v>714</v>
      </c>
      <c r="C448" s="6" t="s">
        <v>686</v>
      </c>
      <c r="D448" s="11"/>
      <c r="E448" s="8">
        <v>1064488</v>
      </c>
      <c r="G448" s="8">
        <v>0</v>
      </c>
      <c r="I448" s="8">
        <v>0</v>
      </c>
      <c r="K448" s="8">
        <v>158888</v>
      </c>
      <c r="M448" s="8">
        <v>132455</v>
      </c>
      <c r="O448" s="8">
        <v>14940</v>
      </c>
      <c r="Q448" s="8">
        <v>634613</v>
      </c>
      <c r="S448" s="8">
        <v>72610</v>
      </c>
      <c r="U448" s="8">
        <v>60000</v>
      </c>
      <c r="W448" s="8">
        <v>110000</v>
      </c>
      <c r="Y448" s="8">
        <v>0</v>
      </c>
      <c r="AA448" s="8">
        <v>0</v>
      </c>
      <c r="AC448" s="8">
        <v>0</v>
      </c>
      <c r="AE448" s="8">
        <f t="shared" si="18"/>
        <v>2247994</v>
      </c>
      <c r="AF448" s="8"/>
      <c r="AG448" s="55"/>
      <c r="AH448" s="55"/>
      <c r="AI448" s="55"/>
      <c r="AJ448" s="55"/>
      <c r="AK448" s="55"/>
      <c r="AL448" s="8">
        <f>+'Gov Rev'!AI448-'Gov Exp'!AE448+'Gov Exp'!AI448-'Gov Exp'!AK448</f>
        <v>1333465</v>
      </c>
      <c r="AM448" s="6" t="str">
        <f>'Gov Rev'!A448</f>
        <v>North Randall</v>
      </c>
      <c r="AN448" s="6" t="str">
        <f t="shared" si="19"/>
        <v>North Randall</v>
      </c>
      <c r="AO448" s="6" t="b">
        <f t="shared" si="20"/>
        <v>1</v>
      </c>
    </row>
    <row r="449" spans="1:41" x14ac:dyDescent="0.2">
      <c r="A449" s="6" t="s">
        <v>291</v>
      </c>
      <c r="C449" s="6" t="s">
        <v>289</v>
      </c>
      <c r="E449" s="8">
        <v>5642</v>
      </c>
      <c r="G449" s="8">
        <v>242</v>
      </c>
      <c r="I449" s="8">
        <v>0</v>
      </c>
      <c r="K449" s="8">
        <v>0</v>
      </c>
      <c r="M449" s="8">
        <v>1215</v>
      </c>
      <c r="O449" s="8">
        <v>0</v>
      </c>
      <c r="Q449" s="8">
        <f>13386+8266</f>
        <v>21652</v>
      </c>
      <c r="S449" s="8">
        <v>0</v>
      </c>
      <c r="U449" s="8">
        <v>0</v>
      </c>
      <c r="W449" s="8">
        <v>0</v>
      </c>
      <c r="Y449" s="8">
        <v>0</v>
      </c>
      <c r="AA449" s="8">
        <v>0</v>
      </c>
      <c r="AC449" s="8">
        <v>0</v>
      </c>
      <c r="AE449" s="8">
        <f t="shared" si="18"/>
        <v>28751</v>
      </c>
      <c r="AF449" s="8"/>
      <c r="AG449" s="55"/>
      <c r="AH449" s="55"/>
      <c r="AI449" s="55"/>
      <c r="AJ449" s="55"/>
      <c r="AK449" s="55"/>
      <c r="AL449" s="8">
        <f>+'Gov Rev'!AI449-'Gov Exp'!AE449+'Gov Exp'!AI449-'Gov Exp'!AK449</f>
        <v>-6390</v>
      </c>
      <c r="AM449" s="6" t="str">
        <f>'Gov Rev'!A449</f>
        <v>North Robinson</v>
      </c>
      <c r="AN449" s="6" t="str">
        <f t="shared" si="19"/>
        <v>North Robinson</v>
      </c>
      <c r="AO449" s="6" t="b">
        <f t="shared" si="20"/>
        <v>1</v>
      </c>
    </row>
    <row r="450" spans="1:41" x14ac:dyDescent="0.2">
      <c r="A450" s="6" t="s">
        <v>311</v>
      </c>
      <c r="C450" s="6" t="s">
        <v>306</v>
      </c>
      <c r="E450" s="8">
        <v>6615</v>
      </c>
      <c r="G450" s="8">
        <v>0</v>
      </c>
      <c r="I450" s="8">
        <v>26132</v>
      </c>
      <c r="K450" s="8">
        <v>5306</v>
      </c>
      <c r="M450" s="8">
        <v>31439</v>
      </c>
      <c r="O450" s="8">
        <v>0</v>
      </c>
      <c r="Q450" s="8">
        <v>45347</v>
      </c>
      <c r="S450" s="8">
        <v>0</v>
      </c>
      <c r="U450" s="8">
        <v>21177</v>
      </c>
      <c r="W450" s="8">
        <v>0</v>
      </c>
      <c r="Y450" s="8">
        <v>5739</v>
      </c>
      <c r="AA450" s="8">
        <v>0</v>
      </c>
      <c r="AC450" s="8">
        <v>0</v>
      </c>
      <c r="AE450" s="8">
        <f t="shared" si="18"/>
        <v>141755</v>
      </c>
      <c r="AF450" s="8"/>
      <c r="AG450" s="55"/>
      <c r="AH450" s="55"/>
      <c r="AI450" s="55"/>
      <c r="AJ450" s="55"/>
      <c r="AK450" s="55"/>
      <c r="AL450" s="8">
        <f>+'Gov Rev'!AI450-'Gov Exp'!AE450+'Gov Exp'!AI450-'Gov Exp'!AK450</f>
        <v>24912</v>
      </c>
      <c r="AM450" s="6" t="str">
        <f>'Gov Rev'!A450</f>
        <v xml:space="preserve">North Star </v>
      </c>
      <c r="AN450" s="6" t="str">
        <f t="shared" si="19"/>
        <v xml:space="preserve">North Star </v>
      </c>
      <c r="AO450" s="6" t="b">
        <f t="shared" si="20"/>
        <v>1</v>
      </c>
    </row>
    <row r="451" spans="1:41" x14ac:dyDescent="0.2">
      <c r="A451" s="6" t="s">
        <v>162</v>
      </c>
      <c r="C451" s="6" t="s">
        <v>450</v>
      </c>
      <c r="E451" s="8">
        <v>939.66</v>
      </c>
      <c r="G451" s="8">
        <v>0</v>
      </c>
      <c r="I451" s="8">
        <v>4278.9399999999996</v>
      </c>
      <c r="K451" s="8">
        <v>0</v>
      </c>
      <c r="M451" s="8">
        <v>0</v>
      </c>
      <c r="O451" s="8">
        <v>0</v>
      </c>
      <c r="Q451" s="8">
        <v>12451.58</v>
      </c>
      <c r="S451" s="8">
        <v>0</v>
      </c>
      <c r="U451" s="8">
        <v>0</v>
      </c>
      <c r="W451" s="8">
        <v>0</v>
      </c>
      <c r="Y451" s="8">
        <v>0</v>
      </c>
      <c r="AA451" s="8">
        <v>0</v>
      </c>
      <c r="AC451" s="8">
        <v>60</v>
      </c>
      <c r="AE451" s="8">
        <f t="shared" si="18"/>
        <v>17730.18</v>
      </c>
      <c r="AF451" s="8"/>
      <c r="AG451" s="55">
        <v>6021.2</v>
      </c>
      <c r="AH451" s="55"/>
      <c r="AI451" s="55">
        <v>158124.53</v>
      </c>
      <c r="AJ451" s="55"/>
      <c r="AK451" s="55">
        <v>164145.73000000001</v>
      </c>
      <c r="AL451" s="8">
        <f>+'Gov Rev'!AI451-'Gov Exp'!AE451+'Gov Exp'!AI451-'Gov Exp'!AK451</f>
        <v>0</v>
      </c>
      <c r="AM451" s="6" t="str">
        <f>'Gov Rev'!A451</f>
        <v>Norwich</v>
      </c>
      <c r="AN451" s="6" t="str">
        <f t="shared" si="19"/>
        <v>Norwich</v>
      </c>
      <c r="AO451" s="6" t="b">
        <f t="shared" si="20"/>
        <v>1</v>
      </c>
    </row>
    <row r="452" spans="1:41" x14ac:dyDescent="0.2">
      <c r="A452" s="6" t="s">
        <v>458</v>
      </c>
      <c r="C452" s="6" t="s">
        <v>192</v>
      </c>
      <c r="E452" s="8">
        <v>664801</v>
      </c>
      <c r="G452" s="8">
        <v>8087</v>
      </c>
      <c r="I452" s="8">
        <v>50503</v>
      </c>
      <c r="K452" s="8">
        <v>2258</v>
      </c>
      <c r="M452" s="8">
        <v>0</v>
      </c>
      <c r="O452" s="8">
        <v>492941</v>
      </c>
      <c r="Q452" s="8">
        <v>249279</v>
      </c>
      <c r="S452" s="8">
        <v>145829</v>
      </c>
      <c r="U452" s="8">
        <v>0</v>
      </c>
      <c r="W452" s="8">
        <v>0</v>
      </c>
      <c r="Y452" s="8">
        <v>62465</v>
      </c>
      <c r="AA452" s="8">
        <v>0</v>
      </c>
      <c r="AC452" s="8">
        <v>18695</v>
      </c>
      <c r="AE452" s="8">
        <f t="shared" si="18"/>
        <v>1694858</v>
      </c>
      <c r="AF452" s="8"/>
      <c r="AG452" s="55"/>
      <c r="AH452" s="55"/>
      <c r="AI452" s="55"/>
      <c r="AJ452" s="55"/>
      <c r="AK452" s="55"/>
      <c r="AL452" s="8">
        <f>+'Gov Rev'!AI452-'Gov Exp'!AE452+'Gov Exp'!AI452-'Gov Exp'!AK452</f>
        <v>-225665</v>
      </c>
      <c r="AM452" s="6" t="str">
        <f>'Gov Rev'!A452</f>
        <v>Oak Harbor</v>
      </c>
      <c r="AN452" s="6" t="str">
        <f t="shared" si="19"/>
        <v>Oak Harbor</v>
      </c>
      <c r="AO452" s="6" t="b">
        <f t="shared" si="20"/>
        <v>1</v>
      </c>
    </row>
    <row r="453" spans="1:41" x14ac:dyDescent="0.2">
      <c r="A453" s="6" t="s">
        <v>109</v>
      </c>
      <c r="C453" s="6" t="s">
        <v>850</v>
      </c>
      <c r="E453" s="8">
        <v>307187.09999999998</v>
      </c>
      <c r="G453" s="8">
        <v>80518.87</v>
      </c>
      <c r="I453" s="8">
        <v>0</v>
      </c>
      <c r="K453" s="8">
        <v>0</v>
      </c>
      <c r="M453" s="8">
        <v>27748.41</v>
      </c>
      <c r="O453" s="8">
        <v>83707.570000000007</v>
      </c>
      <c r="Q453" s="8">
        <v>40294.589999999997</v>
      </c>
      <c r="S453" s="8">
        <v>35266.07</v>
      </c>
      <c r="U453" s="8">
        <v>0</v>
      </c>
      <c r="W453" s="8">
        <v>0</v>
      </c>
      <c r="Y453" s="8">
        <v>0</v>
      </c>
      <c r="AA453" s="8">
        <v>0</v>
      </c>
      <c r="AC453" s="8">
        <v>108.76</v>
      </c>
      <c r="AE453" s="8">
        <f t="shared" si="18"/>
        <v>574831.36999999988</v>
      </c>
      <c r="AF453" s="8"/>
      <c r="AG453" s="55">
        <v>-24027.17</v>
      </c>
      <c r="AH453" s="55"/>
      <c r="AI453" s="55">
        <v>437616.02</v>
      </c>
      <c r="AJ453" s="55"/>
      <c r="AK453" s="55">
        <v>413588.85</v>
      </c>
      <c r="AL453" s="8">
        <f>+'Gov Rev'!AI453-'Gov Exp'!AE453+'Gov Exp'!AI453-'Gov Exp'!AK453</f>
        <v>0</v>
      </c>
      <c r="AM453" s="6" t="str">
        <f>'Gov Rev'!A453</f>
        <v>Oak Hill</v>
      </c>
      <c r="AN453" s="6" t="str">
        <f t="shared" si="19"/>
        <v>Oak Hill</v>
      </c>
      <c r="AO453" s="6" t="b">
        <f t="shared" si="20"/>
        <v>1</v>
      </c>
    </row>
    <row r="454" spans="1:41" x14ac:dyDescent="0.2">
      <c r="A454" s="6" t="s">
        <v>302</v>
      </c>
      <c r="C454" s="6" t="s">
        <v>293</v>
      </c>
      <c r="E454" s="8">
        <v>3632168</v>
      </c>
      <c r="G454" s="8">
        <v>0</v>
      </c>
      <c r="I454" s="8">
        <v>277578</v>
      </c>
      <c r="K454" s="8">
        <v>257891</v>
      </c>
      <c r="M454" s="8">
        <v>210711</v>
      </c>
      <c r="O454" s="8">
        <v>1348565</v>
      </c>
      <c r="Q454" s="8">
        <v>2772687</v>
      </c>
      <c r="S454" s="8">
        <v>490689</v>
      </c>
      <c r="U454" s="8">
        <v>3080550</v>
      </c>
      <c r="W454" s="8">
        <f>9749+206620</f>
        <v>216369</v>
      </c>
      <c r="Y454" s="8">
        <v>698300</v>
      </c>
      <c r="AA454" s="8">
        <v>0</v>
      </c>
      <c r="AC454" s="8">
        <v>0</v>
      </c>
      <c r="AE454" s="8">
        <f t="shared" si="18"/>
        <v>12985508</v>
      </c>
      <c r="AF454" s="8"/>
      <c r="AG454" s="55"/>
      <c r="AH454" s="55"/>
      <c r="AI454" s="55"/>
      <c r="AJ454" s="55"/>
      <c r="AK454" s="55"/>
      <c r="AL454" s="8">
        <f>+'Gov Rev'!AI454-'Gov Exp'!AE454+'Gov Exp'!AI454-'Gov Exp'!AK454</f>
        <v>250368</v>
      </c>
      <c r="AM454" s="6" t="str">
        <f>'Gov Rev'!A454</f>
        <v>Oakwood</v>
      </c>
      <c r="AN454" s="6" t="str">
        <f t="shared" si="19"/>
        <v>Oakwood</v>
      </c>
      <c r="AO454" s="6" t="b">
        <f t="shared" si="20"/>
        <v>1</v>
      </c>
    </row>
    <row r="455" spans="1:41" x14ac:dyDescent="0.2">
      <c r="A455" s="6" t="s">
        <v>302</v>
      </c>
      <c r="C455" s="6" t="s">
        <v>460</v>
      </c>
      <c r="E455" s="8">
        <v>148372</v>
      </c>
      <c r="G455" s="8">
        <v>0</v>
      </c>
      <c r="I455" s="8">
        <v>0</v>
      </c>
      <c r="K455" s="8">
        <v>0</v>
      </c>
      <c r="M455" s="8">
        <v>0</v>
      </c>
      <c r="O455" s="8">
        <v>18340</v>
      </c>
      <c r="Q455" s="8">
        <v>92434</v>
      </c>
      <c r="S455" s="8">
        <v>173806</v>
      </c>
      <c r="U455" s="8">
        <v>52245</v>
      </c>
      <c r="W455" s="8">
        <v>13914</v>
      </c>
      <c r="Y455" s="8">
        <v>58955</v>
      </c>
      <c r="AA455" s="8">
        <v>0</v>
      </c>
      <c r="AC455" s="8">
        <v>15500</v>
      </c>
      <c r="AE455" s="8">
        <f t="shared" si="18"/>
        <v>573566</v>
      </c>
      <c r="AF455" s="8"/>
      <c r="AG455" s="55"/>
      <c r="AH455" s="55"/>
      <c r="AI455" s="55"/>
      <c r="AJ455" s="55"/>
      <c r="AK455" s="55"/>
      <c r="AL455" s="8">
        <f>+'Gov Rev'!AI455-'Gov Exp'!AE455+'Gov Exp'!AI455-'Gov Exp'!AK455</f>
        <v>-5407</v>
      </c>
      <c r="AM455" s="6" t="str">
        <f>'Gov Rev'!A455</f>
        <v>Oakwood</v>
      </c>
      <c r="AN455" s="6" t="str">
        <f t="shared" si="19"/>
        <v>Oakwood</v>
      </c>
      <c r="AO455" s="6" t="b">
        <f t="shared" si="20"/>
        <v>1</v>
      </c>
    </row>
    <row r="456" spans="1:41" x14ac:dyDescent="0.2">
      <c r="A456" s="6" t="s">
        <v>70</v>
      </c>
      <c r="C456" s="6" t="s">
        <v>329</v>
      </c>
      <c r="E456" s="8">
        <v>1603445</v>
      </c>
      <c r="G456" s="8">
        <v>23199.65</v>
      </c>
      <c r="I456" s="8">
        <v>1056323.8</v>
      </c>
      <c r="K456" s="8">
        <v>1756495.24</v>
      </c>
      <c r="M456" s="8">
        <v>0</v>
      </c>
      <c r="O456" s="8">
        <v>316949.46999999997</v>
      </c>
      <c r="Q456" s="8">
        <v>1230608.72</v>
      </c>
      <c r="S456" s="8">
        <v>8353786.2999999998</v>
      </c>
      <c r="U456" s="8">
        <v>483770.5</v>
      </c>
      <c r="W456" s="8">
        <v>457242.87</v>
      </c>
      <c r="Y456" s="8">
        <v>45762.64</v>
      </c>
      <c r="AA456" s="8">
        <v>46460</v>
      </c>
      <c r="AC456" s="8">
        <v>0</v>
      </c>
      <c r="AE456" s="8">
        <f t="shared" si="18"/>
        <v>15374044.189999999</v>
      </c>
      <c r="AF456" s="8"/>
      <c r="AG456" s="55">
        <v>-1343440.21</v>
      </c>
      <c r="AH456" s="55"/>
      <c r="AI456" s="55">
        <v>7228600.2300000004</v>
      </c>
      <c r="AJ456" s="55"/>
      <c r="AK456" s="55">
        <v>5885160.0199999996</v>
      </c>
      <c r="AL456" s="8">
        <f>+'Gov Rev'!AI456-'Gov Exp'!AE456+'Gov Exp'!AI456-'Gov Exp'!AK456</f>
        <v>0</v>
      </c>
      <c r="AM456" s="6" t="str">
        <f>'Gov Rev'!A456</f>
        <v>Obetz</v>
      </c>
      <c r="AN456" s="6" t="str">
        <f t="shared" si="19"/>
        <v>Obetz</v>
      </c>
      <c r="AO456" s="6" t="b">
        <f t="shared" si="20"/>
        <v>1</v>
      </c>
    </row>
    <row r="457" spans="1:41" x14ac:dyDescent="0.2">
      <c r="A457" s="6" t="s">
        <v>66</v>
      </c>
      <c r="C457" s="6" t="s">
        <v>334</v>
      </c>
      <c r="E457" s="8">
        <v>7195.51</v>
      </c>
      <c r="G457" s="8">
        <v>0</v>
      </c>
      <c r="I457" s="8">
        <v>8799.09</v>
      </c>
      <c r="K457" s="8">
        <v>10</v>
      </c>
      <c r="M457" s="8">
        <v>5638.75</v>
      </c>
      <c r="O457" s="8">
        <v>6942.62</v>
      </c>
      <c r="Q457" s="8">
        <v>50697.08</v>
      </c>
      <c r="S457" s="8">
        <v>64.97</v>
      </c>
      <c r="U457" s="8">
        <v>0</v>
      </c>
      <c r="W457" s="8">
        <v>0</v>
      </c>
      <c r="Y457" s="8">
        <v>5283.57</v>
      </c>
      <c r="AA457" s="8">
        <v>2290.8000000000002</v>
      </c>
      <c r="AC457" s="8">
        <v>6898.86</v>
      </c>
      <c r="AE457" s="8">
        <f t="shared" si="18"/>
        <v>93821.25</v>
      </c>
      <c r="AF457" s="8"/>
      <c r="AG457" s="55">
        <v>-2112.0300000000002</v>
      </c>
      <c r="AH457" s="55"/>
      <c r="AI457" s="55">
        <v>2905.26</v>
      </c>
      <c r="AJ457" s="55"/>
      <c r="AK457" s="55">
        <v>793.23</v>
      </c>
      <c r="AL457" s="8">
        <f>+'Gov Rev'!AI457-'Gov Exp'!AE457+'Gov Exp'!AI457-'Gov Exp'!AK457</f>
        <v>1.5916157281026244E-11</v>
      </c>
      <c r="AM457" s="6" t="str">
        <f>'Gov Rev'!A457</f>
        <v>Octa</v>
      </c>
      <c r="AN457" s="6" t="str">
        <f t="shared" si="19"/>
        <v>Octa</v>
      </c>
      <c r="AO457" s="6" t="b">
        <f t="shared" si="20"/>
        <v>1</v>
      </c>
    </row>
    <row r="458" spans="1:41" x14ac:dyDescent="0.2">
      <c r="A458" s="6" t="s">
        <v>533</v>
      </c>
      <c r="C458" s="6" t="s">
        <v>532</v>
      </c>
      <c r="E458" s="8">
        <v>81232</v>
      </c>
      <c r="G458" s="8">
        <v>3477</v>
      </c>
      <c r="I458" s="8">
        <v>4045</v>
      </c>
      <c r="K458" s="8">
        <v>0</v>
      </c>
      <c r="M458" s="8">
        <v>6052</v>
      </c>
      <c r="O458" s="8">
        <v>33264</v>
      </c>
      <c r="Q458" s="8">
        <v>94956</v>
      </c>
      <c r="S458" s="8">
        <v>20338</v>
      </c>
      <c r="U458" s="8">
        <v>19000</v>
      </c>
      <c r="W458" s="8">
        <v>0</v>
      </c>
      <c r="Y458" s="8">
        <v>73406</v>
      </c>
      <c r="AA458" s="8">
        <v>0</v>
      </c>
      <c r="AC458" s="8">
        <v>0</v>
      </c>
      <c r="AE458" s="8">
        <f t="shared" si="18"/>
        <v>335770</v>
      </c>
      <c r="AF458" s="8"/>
      <c r="AG458" s="55"/>
      <c r="AH458" s="55"/>
      <c r="AI458" s="55"/>
      <c r="AJ458" s="55"/>
      <c r="AK458" s="55"/>
      <c r="AL458" s="8">
        <f>+'Gov Rev'!AI458-'Gov Exp'!AE458+'Gov Exp'!AI458-'Gov Exp'!AK458</f>
        <v>25794</v>
      </c>
      <c r="AM458" s="6" t="str">
        <f>'Gov Rev'!A458</f>
        <v xml:space="preserve">Ohio City </v>
      </c>
      <c r="AN458" s="6" t="str">
        <f t="shared" si="19"/>
        <v xml:space="preserve">Ohio City </v>
      </c>
      <c r="AO458" s="6" t="b">
        <f t="shared" si="20"/>
        <v>1</v>
      </c>
    </row>
    <row r="459" spans="1:41" x14ac:dyDescent="0.2">
      <c r="A459" s="6" t="s">
        <v>825</v>
      </c>
      <c r="C459" s="6" t="s">
        <v>349</v>
      </c>
      <c r="E459" s="8">
        <v>7059.24</v>
      </c>
      <c r="G459" s="8">
        <v>8153.19</v>
      </c>
      <c r="I459" s="8">
        <v>3052.89</v>
      </c>
      <c r="K459" s="8">
        <v>134.91999999999999</v>
      </c>
      <c r="M459" s="8">
        <v>532.44000000000005</v>
      </c>
      <c r="O459" s="8">
        <v>14645.27</v>
      </c>
      <c r="Q459" s="8">
        <v>47162.75</v>
      </c>
      <c r="S459" s="8">
        <v>0</v>
      </c>
      <c r="U459" s="8">
        <v>0</v>
      </c>
      <c r="W459" s="8">
        <v>0</v>
      </c>
      <c r="Y459" s="8">
        <v>0</v>
      </c>
      <c r="AA459" s="8">
        <v>0</v>
      </c>
      <c r="AC459" s="8">
        <v>0</v>
      </c>
      <c r="AE459" s="8">
        <f t="shared" si="18"/>
        <v>80740.7</v>
      </c>
      <c r="AF459" s="8"/>
      <c r="AG459" s="55">
        <v>-34557.01</v>
      </c>
      <c r="AH459" s="55"/>
      <c r="AI459" s="55">
        <v>100684.05</v>
      </c>
      <c r="AJ459" s="55"/>
      <c r="AK459" s="55">
        <v>66127.039999999994</v>
      </c>
      <c r="AL459" s="8">
        <f>+'Gov Rev'!AI459-'Gov Exp'!AE459+'Gov Exp'!AI459-'Gov Exp'!AK459</f>
        <v>0</v>
      </c>
      <c r="AM459" s="6" t="str">
        <f>'Gov Rev'!A459</f>
        <v>Old Washington</v>
      </c>
      <c r="AN459" s="6" t="str">
        <f t="shared" si="19"/>
        <v>Old Washington</v>
      </c>
      <c r="AO459" s="6" t="b">
        <f t="shared" si="20"/>
        <v>1</v>
      </c>
    </row>
    <row r="460" spans="1:41" x14ac:dyDescent="0.2">
      <c r="A460" s="6" t="s">
        <v>784</v>
      </c>
      <c r="C460" s="6" t="s">
        <v>293</v>
      </c>
      <c r="E460" s="8">
        <v>2826339</v>
      </c>
      <c r="G460" s="8">
        <v>0</v>
      </c>
      <c r="I460" s="8">
        <v>2574</v>
      </c>
      <c r="K460" s="8">
        <v>169510</v>
      </c>
      <c r="M460" s="8">
        <v>180219</v>
      </c>
      <c r="O460" s="8">
        <v>747468</v>
      </c>
      <c r="Q460" s="8">
        <v>1192381</v>
      </c>
      <c r="S460" s="8">
        <v>2804602</v>
      </c>
      <c r="U460" s="8">
        <v>457564</v>
      </c>
      <c r="W460" s="8">
        <v>295783</v>
      </c>
      <c r="Y460" s="8">
        <v>710699</v>
      </c>
      <c r="AA460" s="8">
        <v>0</v>
      </c>
      <c r="AC460" s="8">
        <v>0</v>
      </c>
      <c r="AE460" s="8">
        <f t="shared" si="18"/>
        <v>9387139</v>
      </c>
      <c r="AF460" s="8"/>
      <c r="AG460" s="55"/>
      <c r="AH460" s="55"/>
      <c r="AI460" s="55"/>
      <c r="AJ460" s="55"/>
      <c r="AK460" s="55"/>
      <c r="AL460" s="8">
        <f>+'Gov Rev'!AI460-'Gov Exp'!AE460+'Gov Exp'!AI460-'Gov Exp'!AK460</f>
        <v>-529349</v>
      </c>
      <c r="AM460" s="6" t="str">
        <f>'Gov Rev'!A460</f>
        <v xml:space="preserve">Orange </v>
      </c>
      <c r="AN460" s="6" t="str">
        <f t="shared" si="19"/>
        <v xml:space="preserve">Orange </v>
      </c>
      <c r="AO460" s="6" t="b">
        <f t="shared" si="20"/>
        <v>1</v>
      </c>
    </row>
    <row r="461" spans="1:41" x14ac:dyDescent="0.2">
      <c r="AE461" s="8"/>
      <c r="AF461" s="8"/>
      <c r="AG461" s="55"/>
      <c r="AH461" s="55"/>
      <c r="AI461" s="55"/>
      <c r="AJ461" s="55"/>
      <c r="AK461" s="55"/>
      <c r="AL461" s="8"/>
    </row>
    <row r="462" spans="1:41" ht="12.75" x14ac:dyDescent="0.2">
      <c r="AE462" s="88" t="s">
        <v>733</v>
      </c>
      <c r="AF462" s="8"/>
      <c r="AG462" s="55"/>
      <c r="AH462" s="55"/>
      <c r="AI462" s="55"/>
      <c r="AJ462" s="55"/>
      <c r="AK462" s="55"/>
      <c r="AL462" s="8"/>
    </row>
    <row r="463" spans="1:41" x14ac:dyDescent="0.2">
      <c r="AE463" s="8"/>
      <c r="AF463" s="8"/>
      <c r="AG463" s="55"/>
      <c r="AH463" s="55"/>
      <c r="AI463" s="55"/>
      <c r="AJ463" s="55"/>
      <c r="AK463" s="55"/>
      <c r="AL463" s="8"/>
    </row>
    <row r="464" spans="1:41" ht="12" customHeight="1" x14ac:dyDescent="0.2">
      <c r="A464" s="6" t="s">
        <v>214</v>
      </c>
      <c r="C464" s="6" t="s">
        <v>518</v>
      </c>
      <c r="E464" s="54">
        <v>19171.47</v>
      </c>
      <c r="G464" s="18">
        <v>0</v>
      </c>
      <c r="H464" s="18"/>
      <c r="I464" s="18">
        <v>0</v>
      </c>
      <c r="J464" s="18"/>
      <c r="K464" s="18">
        <v>0</v>
      </c>
      <c r="L464" s="18"/>
      <c r="M464" s="18">
        <v>0</v>
      </c>
      <c r="N464" s="18"/>
      <c r="O464" s="18">
        <v>7243.18</v>
      </c>
      <c r="P464" s="18"/>
      <c r="Q464" s="18">
        <v>15742.66</v>
      </c>
      <c r="R464" s="18"/>
      <c r="S464" s="18">
        <v>0</v>
      </c>
      <c r="T464" s="18"/>
      <c r="U464" s="18">
        <v>0</v>
      </c>
      <c r="V464" s="18"/>
      <c r="W464" s="18">
        <v>0</v>
      </c>
      <c r="X464" s="18"/>
      <c r="Y464" s="18">
        <v>0</v>
      </c>
      <c r="Z464" s="18"/>
      <c r="AA464" s="18">
        <v>0</v>
      </c>
      <c r="AB464" s="18"/>
      <c r="AC464" s="18">
        <v>0</v>
      </c>
      <c r="AD464" s="18"/>
      <c r="AE464" s="18">
        <f t="shared" si="18"/>
        <v>42157.31</v>
      </c>
      <c r="AF464" s="18"/>
      <c r="AG464" s="64">
        <v>20063.73</v>
      </c>
      <c r="AH464" s="64"/>
      <c r="AI464" s="64">
        <v>57685.82</v>
      </c>
      <c r="AJ464" s="64"/>
      <c r="AK464" s="64">
        <v>77749.55</v>
      </c>
      <c r="AL464" s="8">
        <f>+'Gov Rev'!AI461-'Gov Exp'!AE464+'Gov Exp'!AI464-'Gov Exp'!AK464</f>
        <v>0</v>
      </c>
      <c r="AM464" s="6" t="str">
        <f>'Gov Rev'!A461</f>
        <v>Orangeville</v>
      </c>
      <c r="AN464" s="6" t="str">
        <f t="shared" si="19"/>
        <v>Orangeville</v>
      </c>
      <c r="AO464" s="6" t="b">
        <f t="shared" si="20"/>
        <v>1</v>
      </c>
    </row>
    <row r="465" spans="1:41" x14ac:dyDescent="0.2">
      <c r="A465" s="6" t="s">
        <v>175</v>
      </c>
      <c r="C465" s="6" t="s">
        <v>467</v>
      </c>
      <c r="E465" s="8">
        <v>1875</v>
      </c>
      <c r="G465" s="8">
        <v>205.5</v>
      </c>
      <c r="I465" s="8">
        <v>0</v>
      </c>
      <c r="K465" s="8">
        <v>0</v>
      </c>
      <c r="M465" s="8">
        <v>0</v>
      </c>
      <c r="O465" s="8">
        <v>10082.27</v>
      </c>
      <c r="Q465" s="8">
        <v>18210.400000000001</v>
      </c>
      <c r="S465" s="8">
        <v>0</v>
      </c>
      <c r="U465" s="8">
        <v>0</v>
      </c>
      <c r="W465" s="8">
        <v>0</v>
      </c>
      <c r="Y465" s="8">
        <v>0</v>
      </c>
      <c r="AA465" s="8">
        <v>0</v>
      </c>
      <c r="AC465" s="8">
        <v>0</v>
      </c>
      <c r="AE465" s="8">
        <f t="shared" si="18"/>
        <v>30373.170000000002</v>
      </c>
      <c r="AF465" s="8"/>
      <c r="AG465" s="55">
        <v>6581.2</v>
      </c>
      <c r="AH465" s="55"/>
      <c r="AI465" s="55">
        <v>53197.66</v>
      </c>
      <c r="AJ465" s="55"/>
      <c r="AK465" s="55">
        <v>59778.86</v>
      </c>
      <c r="AL465" s="8">
        <f>+'Gov Rev'!AI462-'Gov Exp'!AE465+'Gov Exp'!AI465-'Gov Exp'!AK465</f>
        <v>0</v>
      </c>
      <c r="AM465" s="6" t="str">
        <f>'Gov Rev'!A462</f>
        <v>Orient</v>
      </c>
      <c r="AN465" s="6" t="str">
        <f t="shared" si="19"/>
        <v>Orient</v>
      </c>
      <c r="AO465" s="6" t="b">
        <f t="shared" si="20"/>
        <v>1</v>
      </c>
    </row>
    <row r="466" spans="1:41" x14ac:dyDescent="0.2">
      <c r="A466" s="6" t="s">
        <v>312</v>
      </c>
      <c r="C466" s="6" t="s">
        <v>306</v>
      </c>
      <c r="E466" s="8">
        <v>8872</v>
      </c>
      <c r="G466" s="8">
        <v>1738</v>
      </c>
      <c r="I466" s="8">
        <v>22559</v>
      </c>
      <c r="K466" s="8">
        <v>0</v>
      </c>
      <c r="M466" s="8">
        <v>0</v>
      </c>
      <c r="O466" s="8">
        <v>7419</v>
      </c>
      <c r="Q466" s="8">
        <v>36392</v>
      </c>
      <c r="S466" s="8">
        <v>0</v>
      </c>
      <c r="U466" s="8">
        <v>0</v>
      </c>
      <c r="W466" s="8">
        <v>0</v>
      </c>
      <c r="Y466" s="8">
        <v>0</v>
      </c>
      <c r="AA466" s="8">
        <v>0</v>
      </c>
      <c r="AC466" s="8">
        <v>0</v>
      </c>
      <c r="AE466" s="8">
        <f t="shared" si="18"/>
        <v>76980</v>
      </c>
      <c r="AF466" s="8"/>
      <c r="AG466" s="55"/>
      <c r="AH466" s="55"/>
      <c r="AI466" s="55"/>
      <c r="AJ466" s="55"/>
      <c r="AK466" s="55"/>
      <c r="AL466" s="8">
        <f>+'Gov Rev'!AI463-'Gov Exp'!AE466+'Gov Exp'!AI466-'Gov Exp'!AK466</f>
        <v>65629</v>
      </c>
      <c r="AM466" s="6" t="str">
        <f>'Gov Rev'!A463</f>
        <v>Osgood</v>
      </c>
      <c r="AN466" s="6" t="str">
        <f t="shared" si="19"/>
        <v>Osgood</v>
      </c>
      <c r="AO466" s="6" t="b">
        <f t="shared" si="20"/>
        <v>1</v>
      </c>
    </row>
    <row r="467" spans="1:41" x14ac:dyDescent="0.2">
      <c r="A467" s="6" t="s">
        <v>321</v>
      </c>
      <c r="C467" s="6" t="s">
        <v>320</v>
      </c>
      <c r="E467" s="8">
        <v>25206</v>
      </c>
      <c r="G467" s="8">
        <v>680</v>
      </c>
      <c r="I467" s="8">
        <v>0</v>
      </c>
      <c r="K467" s="8">
        <v>2644</v>
      </c>
      <c r="M467" s="8">
        <v>0</v>
      </c>
      <c r="O467" s="8">
        <v>43432</v>
      </c>
      <c r="Q467" s="8">
        <v>20652</v>
      </c>
      <c r="S467" s="8">
        <v>0</v>
      </c>
      <c r="U467" s="8">
        <v>0</v>
      </c>
      <c r="W467" s="8">
        <v>0</v>
      </c>
      <c r="Y467" s="8">
        <v>0</v>
      </c>
      <c r="AA467" s="8">
        <v>0</v>
      </c>
      <c r="AC467" s="8">
        <v>0</v>
      </c>
      <c r="AE467" s="8">
        <f t="shared" si="18"/>
        <v>92614</v>
      </c>
      <c r="AF467" s="8"/>
      <c r="AG467" s="55"/>
      <c r="AH467" s="55"/>
      <c r="AI467" s="55"/>
      <c r="AJ467" s="55"/>
      <c r="AK467" s="55"/>
      <c r="AL467" s="8">
        <f>+'Gov Rev'!AI464-'Gov Exp'!AE467+'Gov Exp'!AI467-'Gov Exp'!AK467</f>
        <v>139239</v>
      </c>
      <c r="AM467" s="6" t="str">
        <f>'Gov Rev'!A464</f>
        <v>Ostrander</v>
      </c>
      <c r="AN467" s="6" t="str">
        <f t="shared" si="19"/>
        <v>Ostrander</v>
      </c>
      <c r="AO467" s="6" t="b">
        <f t="shared" si="20"/>
        <v>1</v>
      </c>
    </row>
    <row r="468" spans="1:41" x14ac:dyDescent="0.2">
      <c r="A468" s="6" t="s">
        <v>192</v>
      </c>
      <c r="C468" s="6" t="s">
        <v>476</v>
      </c>
      <c r="E468" s="8">
        <v>711553.46</v>
      </c>
      <c r="G468" s="8">
        <v>0</v>
      </c>
      <c r="I468" s="8">
        <v>85554.59</v>
      </c>
      <c r="K468" s="8">
        <v>117445.07</v>
      </c>
      <c r="M468" s="8">
        <v>155600.74</v>
      </c>
      <c r="O468" s="8">
        <v>249777.94</v>
      </c>
      <c r="Q468" s="8">
        <v>442587.42</v>
      </c>
      <c r="S468" s="8">
        <v>2164476.9300000002</v>
      </c>
      <c r="U468" s="8">
        <v>280072.21999999997</v>
      </c>
      <c r="W468" s="8">
        <v>180625</v>
      </c>
      <c r="Y468" s="8">
        <v>0</v>
      </c>
      <c r="AA468" s="8">
        <v>495791.6</v>
      </c>
      <c r="AC468" s="8">
        <v>0</v>
      </c>
      <c r="AE468" s="8">
        <f t="shared" si="18"/>
        <v>4883484.97</v>
      </c>
      <c r="AF468" s="8"/>
      <c r="AG468" s="55">
        <v>-65411.32</v>
      </c>
      <c r="AH468" s="55"/>
      <c r="AI468" s="55">
        <v>4932574.57</v>
      </c>
      <c r="AJ468" s="55"/>
      <c r="AK468" s="55">
        <v>4867163.25</v>
      </c>
      <c r="AL468" s="8">
        <f>+'Gov Rev'!AI465-'Gov Exp'!AE468+'Gov Exp'!AI468-'Gov Exp'!AK468</f>
        <v>0</v>
      </c>
      <c r="AM468" s="6" t="str">
        <f>'Gov Rev'!A465</f>
        <v>Ottawa</v>
      </c>
      <c r="AN468" s="6" t="str">
        <f t="shared" si="19"/>
        <v>Ottawa</v>
      </c>
      <c r="AO468" s="6" t="b">
        <f t="shared" si="20"/>
        <v>1</v>
      </c>
    </row>
    <row r="469" spans="1:41" x14ac:dyDescent="0.2">
      <c r="A469" s="6" t="s">
        <v>424</v>
      </c>
      <c r="C469" s="6" t="s">
        <v>423</v>
      </c>
      <c r="E469" s="8">
        <v>2302085</v>
      </c>
      <c r="G469" s="8">
        <v>36487</v>
      </c>
      <c r="I469" s="8">
        <v>454459</v>
      </c>
      <c r="K469" s="8">
        <v>0</v>
      </c>
      <c r="M469" s="8">
        <v>480055</v>
      </c>
      <c r="O469" s="8">
        <v>470155</v>
      </c>
      <c r="Q469" s="8">
        <v>814000</v>
      </c>
      <c r="S469" s="8">
        <v>1006926</v>
      </c>
      <c r="U469" s="8">
        <v>69078</v>
      </c>
      <c r="W469" s="8">
        <v>0</v>
      </c>
      <c r="Y469" s="8">
        <v>850000</v>
      </c>
      <c r="AA469" s="8">
        <v>0</v>
      </c>
      <c r="AC469" s="8">
        <v>0</v>
      </c>
      <c r="AE469" s="8">
        <f t="shared" si="18"/>
        <v>6483245</v>
      </c>
      <c r="AF469" s="8"/>
      <c r="AG469" s="55"/>
      <c r="AH469" s="55"/>
      <c r="AI469" s="55"/>
      <c r="AJ469" s="55"/>
      <c r="AK469" s="55"/>
      <c r="AL469" s="8">
        <f>+'Gov Rev'!AI466-'Gov Exp'!AE469+'Gov Exp'!AI469-'Gov Exp'!AK469</f>
        <v>-433309</v>
      </c>
      <c r="AM469" s="6" t="str">
        <f>'Gov Rev'!A466</f>
        <v>Ottawa Hills</v>
      </c>
      <c r="AN469" s="6" t="str">
        <f t="shared" si="19"/>
        <v>Ottawa Hills</v>
      </c>
      <c r="AO469" s="6" t="b">
        <f t="shared" si="20"/>
        <v>1</v>
      </c>
    </row>
    <row r="470" spans="1:41" x14ac:dyDescent="0.2">
      <c r="A470" s="6" t="s">
        <v>478</v>
      </c>
      <c r="C470" s="6" t="s">
        <v>476</v>
      </c>
      <c r="E470" s="8">
        <v>180892.96</v>
      </c>
      <c r="G470" s="8">
        <v>0</v>
      </c>
      <c r="I470" s="8">
        <v>6454.68</v>
      </c>
      <c r="K470" s="8">
        <v>0</v>
      </c>
      <c r="M470" s="8">
        <v>3500</v>
      </c>
      <c r="O470" s="8">
        <v>183042.43</v>
      </c>
      <c r="Q470" s="8">
        <v>151939.42000000001</v>
      </c>
      <c r="S470" s="8">
        <v>645546.94999999995</v>
      </c>
      <c r="U470" s="8">
        <v>34097.67</v>
      </c>
      <c r="W470" s="8">
        <v>3747.6</v>
      </c>
      <c r="Y470" s="8">
        <v>262344.46999999997</v>
      </c>
      <c r="AA470" s="8">
        <v>0</v>
      </c>
      <c r="AC470" s="8">
        <v>0</v>
      </c>
      <c r="AE470" s="8">
        <f t="shared" si="18"/>
        <v>1471566.18</v>
      </c>
      <c r="AF470" s="8"/>
      <c r="AG470" s="55">
        <v>-90467.99</v>
      </c>
      <c r="AH470" s="55"/>
      <c r="AI470" s="55">
        <v>564360.18000000005</v>
      </c>
      <c r="AJ470" s="55"/>
      <c r="AK470" s="55">
        <v>473892.19</v>
      </c>
      <c r="AL470" s="8">
        <f>+'Gov Rev'!AI467-'Gov Exp'!AE470+'Gov Exp'!AI470-'Gov Exp'!AK470</f>
        <v>0</v>
      </c>
      <c r="AM470" s="6" t="str">
        <f>'Gov Rev'!A467</f>
        <v>Ottoville</v>
      </c>
      <c r="AN470" s="6" t="str">
        <f t="shared" si="19"/>
        <v>Ottoville</v>
      </c>
      <c r="AO470" s="6" t="b">
        <f t="shared" si="20"/>
        <v>1</v>
      </c>
    </row>
    <row r="471" spans="1:41" x14ac:dyDescent="0.2">
      <c r="A471" s="6" t="s">
        <v>201</v>
      </c>
      <c r="C471" s="6" t="s">
        <v>491</v>
      </c>
      <c r="E471" s="8">
        <v>27624.05</v>
      </c>
      <c r="G471" s="8">
        <v>0</v>
      </c>
      <c r="I471" s="8">
        <v>0</v>
      </c>
      <c r="K471" s="8">
        <v>28554.89</v>
      </c>
      <c r="M471" s="8">
        <v>16753.82</v>
      </c>
      <c r="O471" s="8">
        <v>1364.89</v>
      </c>
      <c r="Q471" s="8">
        <v>11364.86</v>
      </c>
      <c r="S471" s="8">
        <v>0</v>
      </c>
      <c r="U471" s="8">
        <v>0</v>
      </c>
      <c r="W471" s="8">
        <v>0</v>
      </c>
      <c r="Y471" s="8">
        <v>0</v>
      </c>
      <c r="AA471" s="8">
        <v>0</v>
      </c>
      <c r="AC471" s="8">
        <v>6319.6</v>
      </c>
      <c r="AE471" s="8">
        <f t="shared" si="18"/>
        <v>91982.110000000015</v>
      </c>
      <c r="AF471" s="8"/>
      <c r="AG471" s="55">
        <v>-36712.42</v>
      </c>
      <c r="AH471" s="55"/>
      <c r="AI471" s="55">
        <v>109229.08</v>
      </c>
      <c r="AJ471" s="55"/>
      <c r="AK471" s="55">
        <v>72516.66</v>
      </c>
      <c r="AL471" s="8">
        <f>+'Gov Rev'!AI468-'Gov Exp'!AE471+'Gov Exp'!AI471-'Gov Exp'!AK471</f>
        <v>0</v>
      </c>
      <c r="AM471" s="6" t="str">
        <f>'Gov Rev'!A468</f>
        <v>Otway</v>
      </c>
      <c r="AN471" s="6" t="str">
        <f t="shared" si="19"/>
        <v>Otway</v>
      </c>
      <c r="AO471" s="6" t="b">
        <f t="shared" si="20"/>
        <v>1</v>
      </c>
    </row>
    <row r="472" spans="1:41" x14ac:dyDescent="0.2">
      <c r="A472" s="6" t="s">
        <v>38</v>
      </c>
      <c r="C472" s="6" t="s">
        <v>277</v>
      </c>
      <c r="E472" s="8">
        <v>196222.74</v>
      </c>
      <c r="G472" s="8">
        <v>2374.29</v>
      </c>
      <c r="I472" s="8">
        <v>12231.29</v>
      </c>
      <c r="K472" s="8">
        <v>0</v>
      </c>
      <c r="M472" s="8">
        <v>0</v>
      </c>
      <c r="O472" s="8">
        <v>44700.68</v>
      </c>
      <c r="Q472" s="8">
        <v>153360.39000000001</v>
      </c>
      <c r="S472" s="8">
        <v>0</v>
      </c>
      <c r="U472" s="8">
        <v>0</v>
      </c>
      <c r="W472" s="8">
        <v>0</v>
      </c>
      <c r="Y472" s="8">
        <v>0</v>
      </c>
      <c r="AA472" s="8">
        <v>0</v>
      </c>
      <c r="AC472" s="8">
        <v>0</v>
      </c>
      <c r="AE472" s="8">
        <f t="shared" si="18"/>
        <v>408889.39</v>
      </c>
      <c r="AF472" s="8"/>
      <c r="AG472" s="55">
        <v>-53611.34</v>
      </c>
      <c r="AH472" s="55"/>
      <c r="AI472" s="55">
        <v>538218.75</v>
      </c>
      <c r="AJ472" s="55"/>
      <c r="AK472" s="55">
        <v>484607.41</v>
      </c>
      <c r="AL472" s="8">
        <f>+'Gov Rev'!AI469-'Gov Exp'!AE472+'Gov Exp'!AI472-'Gov Exp'!AK472</f>
        <v>0</v>
      </c>
      <c r="AM472" s="6" t="str">
        <f>'Gov Rev'!A469</f>
        <v>Owensville</v>
      </c>
      <c r="AN472" s="6" t="str">
        <f t="shared" si="19"/>
        <v>Owensville</v>
      </c>
      <c r="AO472" s="6" t="b">
        <f t="shared" si="20"/>
        <v>1</v>
      </c>
    </row>
    <row r="473" spans="1:41" x14ac:dyDescent="0.2">
      <c r="A473" s="6" t="s">
        <v>479</v>
      </c>
      <c r="C473" s="6" t="s">
        <v>476</v>
      </c>
      <c r="E473" s="8">
        <v>166683</v>
      </c>
      <c r="G473" s="8">
        <v>6626</v>
      </c>
      <c r="I473" s="8">
        <v>3325</v>
      </c>
      <c r="K473" s="8">
        <v>0</v>
      </c>
      <c r="M473" s="8">
        <v>17469</v>
      </c>
      <c r="O473" s="8">
        <v>101684</v>
      </c>
      <c r="Q473" s="8">
        <v>150478</v>
      </c>
      <c r="S473" s="8">
        <v>80894</v>
      </c>
      <c r="U473" s="8">
        <v>85893</v>
      </c>
      <c r="W473" s="8">
        <v>1952</v>
      </c>
      <c r="Y473" s="8">
        <v>90723</v>
      </c>
      <c r="AA473" s="8">
        <v>0</v>
      </c>
      <c r="AC473" s="8">
        <v>0</v>
      </c>
      <c r="AE473" s="8">
        <f t="shared" si="18"/>
        <v>705727</v>
      </c>
      <c r="AF473" s="8"/>
      <c r="AG473" s="55"/>
      <c r="AH473" s="55"/>
      <c r="AI473" s="55"/>
      <c r="AJ473" s="55"/>
      <c r="AK473" s="55"/>
      <c r="AL473" s="8">
        <f>+'Gov Rev'!AI470-'Gov Exp'!AE473+'Gov Exp'!AI473-'Gov Exp'!AK473</f>
        <v>180944</v>
      </c>
      <c r="AM473" s="6" t="str">
        <f>'Gov Rev'!A470</f>
        <v>Pandora</v>
      </c>
      <c r="AN473" s="6" t="str">
        <f t="shared" si="19"/>
        <v>Pandora</v>
      </c>
      <c r="AO473" s="6" t="b">
        <f t="shared" si="20"/>
        <v>1</v>
      </c>
    </row>
    <row r="474" spans="1:41" x14ac:dyDescent="0.2">
      <c r="A474" s="6" t="s">
        <v>526</v>
      </c>
      <c r="C474" s="6" t="s">
        <v>521</v>
      </c>
      <c r="E474" s="8">
        <v>0</v>
      </c>
      <c r="G474" s="8">
        <v>0</v>
      </c>
      <c r="I474" s="8">
        <v>0</v>
      </c>
      <c r="K474" s="8">
        <v>0</v>
      </c>
      <c r="M474" s="8">
        <v>2682.63</v>
      </c>
      <c r="O474" s="8">
        <v>10654.56</v>
      </c>
      <c r="Q474" s="8">
        <v>13598.51</v>
      </c>
      <c r="S474" s="8">
        <v>0</v>
      </c>
      <c r="U474" s="8">
        <v>0</v>
      </c>
      <c r="W474" s="8">
        <v>0</v>
      </c>
      <c r="Y474" s="8">
        <v>0</v>
      </c>
      <c r="AA474" s="8">
        <v>0</v>
      </c>
      <c r="AC474" s="8">
        <v>0</v>
      </c>
      <c r="AE474" s="8">
        <f t="shared" si="18"/>
        <v>26935.699999999997</v>
      </c>
      <c r="AF474" s="8"/>
      <c r="AG474" s="55">
        <v>25598.94</v>
      </c>
      <c r="AH474" s="55"/>
      <c r="AI474" s="55">
        <v>89806.06</v>
      </c>
      <c r="AJ474" s="55"/>
      <c r="AK474" s="55">
        <v>115405</v>
      </c>
      <c r="AL474" s="8">
        <f>+'Gov Rev'!AI471-'Gov Exp'!AE474+'Gov Exp'!AI474-'Gov Exp'!AK474</f>
        <v>0</v>
      </c>
      <c r="AM474" s="6" t="str">
        <f>'Gov Rev'!A471</f>
        <v>Parral</v>
      </c>
      <c r="AN474" s="6" t="str">
        <f t="shared" si="19"/>
        <v>Parral</v>
      </c>
      <c r="AO474" s="6" t="b">
        <f t="shared" si="20"/>
        <v>1</v>
      </c>
    </row>
    <row r="475" spans="1:41" x14ac:dyDescent="0.2">
      <c r="A475" s="6" t="s">
        <v>370</v>
      </c>
      <c r="C475" s="6" t="s">
        <v>366</v>
      </c>
      <c r="E475" s="8">
        <v>1893</v>
      </c>
      <c r="G475" s="8">
        <v>278</v>
      </c>
      <c r="I475" s="8">
        <v>0</v>
      </c>
      <c r="K475" s="8">
        <v>0</v>
      </c>
      <c r="M475" s="8">
        <v>0</v>
      </c>
      <c r="O475" s="8">
        <v>1499</v>
      </c>
      <c r="Q475" s="8">
        <v>4672</v>
      </c>
      <c r="S475" s="8">
        <v>0</v>
      </c>
      <c r="U475" s="8">
        <v>0</v>
      </c>
      <c r="W475" s="8">
        <v>0</v>
      </c>
      <c r="Y475" s="8">
        <v>5413</v>
      </c>
      <c r="AA475" s="8">
        <v>0</v>
      </c>
      <c r="AC475" s="8">
        <v>0</v>
      </c>
      <c r="AE475" s="8">
        <f t="shared" si="18"/>
        <v>13755</v>
      </c>
      <c r="AF475" s="8"/>
      <c r="AG475" s="55"/>
      <c r="AH475" s="55"/>
      <c r="AI475" s="55"/>
      <c r="AJ475" s="55"/>
      <c r="AK475" s="55"/>
      <c r="AL475" s="8">
        <f>+'Gov Rev'!AI472-'Gov Exp'!AE475+'Gov Exp'!AI475-'Gov Exp'!AK475</f>
        <v>514</v>
      </c>
      <c r="AM475" s="6" t="str">
        <f>'Gov Rev'!A472</f>
        <v>Patterson</v>
      </c>
      <c r="AN475" s="6" t="str">
        <f t="shared" si="19"/>
        <v>Patterson</v>
      </c>
      <c r="AO475" s="6" t="b">
        <f t="shared" si="20"/>
        <v>1</v>
      </c>
    </row>
    <row r="476" spans="1:41" x14ac:dyDescent="0.2">
      <c r="A476" s="6" t="s">
        <v>460</v>
      </c>
      <c r="C476" s="6" t="s">
        <v>460</v>
      </c>
      <c r="E476" s="8">
        <v>646472</v>
      </c>
      <c r="G476" s="8">
        <v>22573</v>
      </c>
      <c r="I476" s="8">
        <v>97311</v>
      </c>
      <c r="K476" s="8">
        <v>6687</v>
      </c>
      <c r="M476" s="8">
        <v>37490</v>
      </c>
      <c r="O476" s="8">
        <v>137785</v>
      </c>
      <c r="Q476" s="8">
        <v>265936</v>
      </c>
      <c r="S476" s="8">
        <v>8611553</v>
      </c>
      <c r="U476" s="8">
        <v>496000</v>
      </c>
      <c r="W476" s="8">
        <v>13598</v>
      </c>
      <c r="Y476" s="8">
        <v>436524</v>
      </c>
      <c r="AA476" s="8">
        <v>0</v>
      </c>
      <c r="AC476" s="8">
        <v>0</v>
      </c>
      <c r="AE476" s="8">
        <f t="shared" si="18"/>
        <v>10771929</v>
      </c>
      <c r="AF476" s="8"/>
      <c r="AG476" s="55"/>
      <c r="AH476" s="55"/>
      <c r="AI476" s="55"/>
      <c r="AJ476" s="55"/>
      <c r="AK476" s="55"/>
      <c r="AL476" s="8">
        <f>+'Gov Rev'!AI473-'Gov Exp'!AE476+'Gov Exp'!AI476-'Gov Exp'!AK476</f>
        <v>91920</v>
      </c>
      <c r="AM476" s="6" t="str">
        <f>'Gov Rev'!A473</f>
        <v>Paulding</v>
      </c>
      <c r="AN476" s="6" t="str">
        <f t="shared" si="19"/>
        <v>Paulding</v>
      </c>
      <c r="AO476" s="6" t="b">
        <f t="shared" si="20"/>
        <v>1</v>
      </c>
    </row>
    <row r="477" spans="1:41" x14ac:dyDescent="0.2">
      <c r="A477" s="6" t="s">
        <v>462</v>
      </c>
      <c r="C477" s="6" t="s">
        <v>460</v>
      </c>
      <c r="E477" s="8">
        <v>224145.69</v>
      </c>
      <c r="G477" s="8">
        <v>1637.84</v>
      </c>
      <c r="I477" s="8">
        <v>2500</v>
      </c>
      <c r="K477" s="8">
        <v>0</v>
      </c>
      <c r="M477" s="8">
        <v>0</v>
      </c>
      <c r="O477" s="8">
        <v>57500</v>
      </c>
      <c r="Q477" s="8">
        <v>94434.36</v>
      </c>
      <c r="S477" s="8">
        <v>181628.47</v>
      </c>
      <c r="U477" s="8">
        <v>31557.63</v>
      </c>
      <c r="W477" s="8">
        <v>187.57</v>
      </c>
      <c r="Y477" s="8">
        <v>25439.439999999999</v>
      </c>
      <c r="AA477" s="8">
        <v>0</v>
      </c>
      <c r="AC477" s="8">
        <v>72090</v>
      </c>
      <c r="AE477" s="8">
        <f t="shared" si="18"/>
        <v>691120.99999999988</v>
      </c>
      <c r="AF477" s="8"/>
      <c r="AG477" s="55">
        <v>57807.31</v>
      </c>
      <c r="AH477" s="55"/>
      <c r="AI477" s="55">
        <v>454119.8</v>
      </c>
      <c r="AJ477" s="55"/>
      <c r="AK477" s="55">
        <v>511927.11</v>
      </c>
      <c r="AL477" s="8">
        <f>+'Gov Rev'!AI474-'Gov Exp'!AE477+'Gov Exp'!AI477-'Gov Exp'!AK477</f>
        <v>0</v>
      </c>
      <c r="AM477" s="6" t="str">
        <f>'Gov Rev'!A474</f>
        <v>Payne</v>
      </c>
      <c r="AN477" s="6" t="str">
        <f t="shared" si="19"/>
        <v>Payne</v>
      </c>
      <c r="AO477" s="6" t="b">
        <f t="shared" si="20"/>
        <v>1</v>
      </c>
    </row>
    <row r="478" spans="1:41" x14ac:dyDescent="0.2">
      <c r="A478" s="6" t="s">
        <v>628</v>
      </c>
      <c r="C478" s="6" t="s">
        <v>616</v>
      </c>
      <c r="E478" s="8">
        <v>256758.31</v>
      </c>
      <c r="G478" s="8">
        <v>0</v>
      </c>
      <c r="I478" s="8">
        <v>2423.86</v>
      </c>
      <c r="K478" s="8">
        <v>0</v>
      </c>
      <c r="M478" s="8">
        <v>0</v>
      </c>
      <c r="O478" s="8">
        <v>55470.97</v>
      </c>
      <c r="Q478" s="8">
        <v>127481.19</v>
      </c>
      <c r="S478" s="8">
        <v>0</v>
      </c>
      <c r="U478" s="8">
        <v>0</v>
      </c>
      <c r="W478" s="8">
        <v>0</v>
      </c>
      <c r="Y478" s="8">
        <v>0</v>
      </c>
      <c r="AA478" s="8">
        <v>0</v>
      </c>
      <c r="AC478" s="8">
        <v>0</v>
      </c>
      <c r="AE478" s="8">
        <f t="shared" si="18"/>
        <v>442134.33</v>
      </c>
      <c r="AF478" s="8"/>
      <c r="AG478" s="55">
        <v>-23571.78</v>
      </c>
      <c r="AH478" s="55"/>
      <c r="AI478" s="55">
        <v>288390.32</v>
      </c>
      <c r="AJ478" s="55"/>
      <c r="AK478" s="55">
        <v>264818.53999999998</v>
      </c>
      <c r="AL478" s="8">
        <f>+'Gov Rev'!AI478-'Gov Exp'!AE478+'Gov Exp'!AI478-'Gov Exp'!AK478</f>
        <v>0</v>
      </c>
      <c r="AM478" s="6" t="str">
        <f>'Gov Rev'!A478</f>
        <v>Peebles</v>
      </c>
      <c r="AN478" s="6" t="str">
        <f t="shared" si="19"/>
        <v>Peebles</v>
      </c>
      <c r="AO478" s="6" t="b">
        <f t="shared" si="20"/>
        <v>1</v>
      </c>
    </row>
    <row r="479" spans="1:41" x14ac:dyDescent="0.2">
      <c r="A479" s="6" t="s">
        <v>563</v>
      </c>
      <c r="C479" s="6" t="s">
        <v>558</v>
      </c>
      <c r="E479" s="8">
        <v>193103.71</v>
      </c>
      <c r="G479" s="8">
        <v>3151.66</v>
      </c>
      <c r="I479" s="8">
        <v>967.12</v>
      </c>
      <c r="K479" s="8">
        <v>0</v>
      </c>
      <c r="M479" s="8">
        <v>77.099999999999994</v>
      </c>
      <c r="O479" s="8">
        <v>50282</v>
      </c>
      <c r="Q479" s="8">
        <v>193293.25</v>
      </c>
      <c r="S479" s="8">
        <v>8884.09</v>
      </c>
      <c r="U479" s="8">
        <v>89967.74</v>
      </c>
      <c r="W479" s="8">
        <v>18162.52</v>
      </c>
      <c r="Y479" s="8">
        <v>312000</v>
      </c>
      <c r="AA479" s="8">
        <v>0</v>
      </c>
      <c r="AC479" s="8">
        <v>3769.13</v>
      </c>
      <c r="AE479" s="8">
        <f t="shared" ref="AE479:AE545" si="21">SUM(E479:AC479)</f>
        <v>873658.32000000007</v>
      </c>
      <c r="AF479" s="8"/>
      <c r="AG479" s="55">
        <v>55246.07</v>
      </c>
      <c r="AH479" s="55"/>
      <c r="AI479" s="55">
        <v>1354941.63</v>
      </c>
      <c r="AJ479" s="55"/>
      <c r="AK479" s="55">
        <v>1410187.7</v>
      </c>
      <c r="AL479" s="8">
        <f>+'Gov Rev'!AI479-'Gov Exp'!AE479+'Gov Exp'!AI479-'Gov Exp'!AK479</f>
        <v>0</v>
      </c>
      <c r="AM479" s="6" t="str">
        <f>'Gov Rev'!A479</f>
        <v>Pemberville</v>
      </c>
      <c r="AN479" s="6" t="str">
        <f t="shared" ref="AN479:AN545" si="22">A479</f>
        <v>Pemberville</v>
      </c>
      <c r="AO479" s="6" t="b">
        <f t="shared" ref="AO479:AO545" si="23">AM479=AN479</f>
        <v>1</v>
      </c>
    </row>
    <row r="480" spans="1:41" x14ac:dyDescent="0.2">
      <c r="A480" s="6" t="s">
        <v>513</v>
      </c>
      <c r="C480" s="6" t="s">
        <v>511</v>
      </c>
      <c r="E480" s="8">
        <v>452265.01</v>
      </c>
      <c r="G480" s="8">
        <v>7195.12</v>
      </c>
      <c r="I480" s="8">
        <v>0</v>
      </c>
      <c r="K480" s="8">
        <v>3244.99</v>
      </c>
      <c r="M480" s="8">
        <v>0</v>
      </c>
      <c r="O480" s="8">
        <v>172899.4</v>
      </c>
      <c r="Q480" s="8">
        <v>185601.28</v>
      </c>
      <c r="S480" s="8">
        <v>46190.2</v>
      </c>
      <c r="U480" s="8">
        <v>0</v>
      </c>
      <c r="W480" s="8">
        <v>0</v>
      </c>
      <c r="Y480" s="8">
        <v>1263.0999999999999</v>
      </c>
      <c r="AA480" s="8">
        <v>0</v>
      </c>
      <c r="AC480" s="8">
        <v>0</v>
      </c>
      <c r="AE480" s="8">
        <f t="shared" si="21"/>
        <v>868659.1</v>
      </c>
      <c r="AF480" s="8"/>
      <c r="AG480" s="55">
        <v>-19162.59</v>
      </c>
      <c r="AH480" s="55"/>
      <c r="AI480" s="55">
        <v>158742.95000000001</v>
      </c>
      <c r="AJ480" s="55"/>
      <c r="AK480" s="55">
        <v>139580.35999999999</v>
      </c>
      <c r="AL480" s="8">
        <f>+'Gov Rev'!AI480-'Gov Exp'!AE480+'Gov Exp'!AI480-'Gov Exp'!AK480</f>
        <v>0</v>
      </c>
      <c r="AM480" s="6" t="str">
        <f>'Gov Rev'!A480</f>
        <v>Peninsula</v>
      </c>
      <c r="AN480" s="6" t="str">
        <f t="shared" si="22"/>
        <v>Peninsula</v>
      </c>
      <c r="AO480" s="6" t="b">
        <f t="shared" si="23"/>
        <v>1</v>
      </c>
    </row>
    <row r="481" spans="1:41" x14ac:dyDescent="0.2">
      <c r="A481" s="6" t="s">
        <v>402</v>
      </c>
      <c r="C481" s="6" t="s">
        <v>399</v>
      </c>
      <c r="E481" s="8">
        <v>558201</v>
      </c>
      <c r="G481" s="8">
        <v>11179</v>
      </c>
      <c r="I481" s="8">
        <v>19289</v>
      </c>
      <c r="K481" s="8">
        <v>7149</v>
      </c>
      <c r="M481" s="8">
        <v>0</v>
      </c>
      <c r="O481" s="8">
        <v>65219</v>
      </c>
      <c r="Q481" s="8">
        <v>262258</v>
      </c>
      <c r="S481" s="8">
        <v>0</v>
      </c>
      <c r="U481" s="8">
        <v>12313</v>
      </c>
      <c r="W481" s="8">
        <v>0</v>
      </c>
      <c r="Y481" s="8">
        <v>87313</v>
      </c>
      <c r="AA481" s="8">
        <v>0</v>
      </c>
      <c r="AC481" s="8">
        <v>0</v>
      </c>
      <c r="AE481" s="8">
        <f t="shared" si="21"/>
        <v>1022921</v>
      </c>
      <c r="AF481" s="8"/>
      <c r="AG481" s="55"/>
      <c r="AH481" s="55"/>
      <c r="AI481" s="55"/>
      <c r="AJ481" s="55"/>
      <c r="AK481" s="55"/>
      <c r="AL481" s="8">
        <f>+'Gov Rev'!AI481-'Gov Exp'!AE481+'Gov Exp'!AI481-'Gov Exp'!AK481</f>
        <v>129703</v>
      </c>
      <c r="AM481" s="6" t="str">
        <f>'Gov Rev'!A481</f>
        <v xml:space="preserve">Perry </v>
      </c>
      <c r="AN481" s="6" t="str">
        <f t="shared" si="22"/>
        <v xml:space="preserve">Perry </v>
      </c>
      <c r="AO481" s="6" t="b">
        <f t="shared" si="23"/>
        <v>1</v>
      </c>
    </row>
    <row r="482" spans="1:41" x14ac:dyDescent="0.2">
      <c r="A482" s="6" t="s">
        <v>629</v>
      </c>
      <c r="C482" s="6" t="s">
        <v>848</v>
      </c>
      <c r="E482" s="8">
        <v>97734.87</v>
      </c>
      <c r="G482" s="8">
        <v>324.14</v>
      </c>
      <c r="I482" s="8">
        <v>3294.56</v>
      </c>
      <c r="K482" s="8">
        <v>0</v>
      </c>
      <c r="M482" s="8">
        <v>0</v>
      </c>
      <c r="O482" s="8">
        <v>35808.089999999997</v>
      </c>
      <c r="Q482" s="8">
        <v>145617.60000000001</v>
      </c>
      <c r="S482" s="8">
        <v>488095.82</v>
      </c>
      <c r="U482" s="8">
        <v>0</v>
      </c>
      <c r="W482" s="8">
        <v>0</v>
      </c>
      <c r="Y482" s="8">
        <v>0</v>
      </c>
      <c r="AA482" s="8">
        <v>0</v>
      </c>
      <c r="AC482" s="8">
        <v>0</v>
      </c>
      <c r="AE482" s="8">
        <f t="shared" si="21"/>
        <v>770875.08000000007</v>
      </c>
      <c r="AF482" s="8"/>
      <c r="AG482" s="55">
        <v>9991.25</v>
      </c>
      <c r="AH482" s="55"/>
      <c r="AI482" s="55">
        <v>285506.78000000003</v>
      </c>
      <c r="AJ482" s="55"/>
      <c r="AK482" s="55">
        <v>295498.03000000003</v>
      </c>
      <c r="AL482" s="8">
        <f>+'Gov Rev'!AI482-'Gov Exp'!AE482+'Gov Exp'!AI482-'Gov Exp'!AK482</f>
        <v>0</v>
      </c>
      <c r="AM482" s="6" t="str">
        <f>'Gov Rev'!A482</f>
        <v>Perrysville</v>
      </c>
      <c r="AN482" s="6" t="str">
        <f t="shared" si="22"/>
        <v>Perrysville</v>
      </c>
      <c r="AO482" s="6" t="b">
        <f t="shared" si="23"/>
        <v>1</v>
      </c>
    </row>
    <row r="483" spans="1:41" x14ac:dyDescent="0.2">
      <c r="A483" s="6" t="s">
        <v>448</v>
      </c>
      <c r="C483" s="6" t="s">
        <v>446</v>
      </c>
      <c r="E483" s="8">
        <v>137999</v>
      </c>
      <c r="G483" s="8">
        <v>221424</v>
      </c>
      <c r="I483" s="8">
        <v>14482</v>
      </c>
      <c r="K483" s="8">
        <v>2993</v>
      </c>
      <c r="M483" s="8">
        <v>0</v>
      </c>
      <c r="O483" s="8">
        <v>46726</v>
      </c>
      <c r="Q483" s="8">
        <v>92752</v>
      </c>
      <c r="S483" s="8">
        <v>21958</v>
      </c>
      <c r="U483" s="8">
        <v>16781</v>
      </c>
      <c r="W483" s="8">
        <v>2645</v>
      </c>
      <c r="Y483" s="8">
        <v>1000</v>
      </c>
      <c r="AA483" s="8">
        <v>50000</v>
      </c>
      <c r="AC483" s="8">
        <v>76285</v>
      </c>
      <c r="AE483" s="8">
        <f t="shared" si="21"/>
        <v>685045</v>
      </c>
      <c r="AF483" s="8"/>
      <c r="AG483" s="55"/>
      <c r="AH483" s="55"/>
      <c r="AI483" s="55"/>
      <c r="AJ483" s="55"/>
      <c r="AK483" s="55"/>
      <c r="AL483" s="8">
        <f>+'Gov Rev'!AI483-'Gov Exp'!AE483+'Gov Exp'!AI483-'Gov Exp'!AK483</f>
        <v>7568</v>
      </c>
      <c r="AM483" s="6" t="str">
        <f>'Gov Rev'!A483</f>
        <v>Phillipsburg</v>
      </c>
      <c r="AN483" s="6" t="str">
        <f t="shared" si="22"/>
        <v>Phillipsburg</v>
      </c>
      <c r="AO483" s="6" t="b">
        <f t="shared" si="23"/>
        <v>1</v>
      </c>
    </row>
    <row r="484" spans="1:41" x14ac:dyDescent="0.2">
      <c r="A484" s="6" t="s">
        <v>452</v>
      </c>
      <c r="C484" s="6" t="s">
        <v>450</v>
      </c>
      <c r="E484" s="8">
        <v>9097</v>
      </c>
      <c r="G484" s="8">
        <v>0</v>
      </c>
      <c r="I484" s="8">
        <v>0</v>
      </c>
      <c r="K484" s="8">
        <v>0</v>
      </c>
      <c r="M484" s="8">
        <v>0</v>
      </c>
      <c r="O484" s="8">
        <v>60195</v>
      </c>
      <c r="Q484" s="8">
        <v>54431</v>
      </c>
      <c r="S484" s="8">
        <v>0</v>
      </c>
      <c r="U484" s="8">
        <v>0</v>
      </c>
      <c r="W484" s="8">
        <v>0</v>
      </c>
      <c r="Y484" s="8">
        <v>0</v>
      </c>
      <c r="AA484" s="8">
        <v>0</v>
      </c>
      <c r="AC484" s="8">
        <v>0</v>
      </c>
      <c r="AE484" s="8">
        <f t="shared" si="21"/>
        <v>123723</v>
      </c>
      <c r="AF484" s="8"/>
      <c r="AG484" s="55"/>
      <c r="AH484" s="55"/>
      <c r="AI484" s="55"/>
      <c r="AJ484" s="55"/>
      <c r="AK484" s="55"/>
      <c r="AL484" s="8">
        <f>+'Gov Rev'!AI484-'Gov Exp'!AE484+'Gov Exp'!AI484-'Gov Exp'!AK484</f>
        <v>-3261</v>
      </c>
      <c r="AM484" s="6" t="str">
        <f>'Gov Rev'!A484</f>
        <v>Philo</v>
      </c>
      <c r="AN484" s="6" t="str">
        <f t="shared" si="22"/>
        <v>Philo</v>
      </c>
      <c r="AO484" s="6" t="b">
        <f t="shared" si="23"/>
        <v>1</v>
      </c>
    </row>
    <row r="485" spans="1:41" x14ac:dyDescent="0.2">
      <c r="A485" s="6" t="s">
        <v>468</v>
      </c>
      <c r="C485" s="6" t="s">
        <v>469</v>
      </c>
      <c r="E485" s="8">
        <v>341085.34</v>
      </c>
      <c r="G485" s="8">
        <v>0</v>
      </c>
      <c r="I485" s="8">
        <v>0</v>
      </c>
      <c r="K485" s="8">
        <v>9593.19</v>
      </c>
      <c r="M485" s="8">
        <v>0</v>
      </c>
      <c r="O485" s="8">
        <v>851952.09</v>
      </c>
      <c r="Q485" s="8">
        <v>248951.41</v>
      </c>
      <c r="S485" s="8">
        <v>246</v>
      </c>
      <c r="U485" s="8">
        <v>40877</v>
      </c>
      <c r="W485" s="8">
        <v>14172.63</v>
      </c>
      <c r="Y485" s="8">
        <v>0</v>
      </c>
      <c r="AA485" s="8">
        <v>0</v>
      </c>
      <c r="AC485" s="8">
        <v>0</v>
      </c>
      <c r="AE485" s="8">
        <f t="shared" si="21"/>
        <v>1506877.66</v>
      </c>
      <c r="AF485" s="8"/>
      <c r="AG485" s="55">
        <v>-206516.38</v>
      </c>
      <c r="AH485" s="55"/>
      <c r="AI485" s="55">
        <v>1104241.24</v>
      </c>
      <c r="AJ485" s="55"/>
      <c r="AK485" s="55">
        <v>897724.86</v>
      </c>
      <c r="AL485" s="8">
        <f>+'Gov Rev'!AI485-'Gov Exp'!AE485+'Gov Exp'!AI485-'Gov Exp'!AK485</f>
        <v>0</v>
      </c>
      <c r="AM485" s="6" t="str">
        <f>'Gov Rev'!A485</f>
        <v>Piketon</v>
      </c>
      <c r="AN485" s="6" t="str">
        <f t="shared" si="22"/>
        <v>Piketon</v>
      </c>
      <c r="AO485" s="6" t="b">
        <f t="shared" si="23"/>
        <v>1</v>
      </c>
    </row>
    <row r="486" spans="1:41" ht="12.75" x14ac:dyDescent="0.2">
      <c r="A486" s="6" t="s">
        <v>773</v>
      </c>
      <c r="C486" s="6" t="s">
        <v>554</v>
      </c>
      <c r="D486" s="11"/>
      <c r="E486" s="8">
        <v>327456</v>
      </c>
      <c r="G486" s="8">
        <v>15361</v>
      </c>
      <c r="I486" s="8">
        <v>60122</v>
      </c>
      <c r="K486" s="8">
        <v>9206</v>
      </c>
      <c r="M486" s="8">
        <v>5319</v>
      </c>
      <c r="O486" s="8">
        <v>143449</v>
      </c>
      <c r="Q486" s="8">
        <v>167014</v>
      </c>
      <c r="S486" s="8">
        <v>61478</v>
      </c>
      <c r="U486" s="8">
        <v>49706</v>
      </c>
      <c r="W486" s="8">
        <v>14175</v>
      </c>
      <c r="Y486" s="8">
        <v>56795</v>
      </c>
      <c r="AA486" s="8">
        <v>0</v>
      </c>
      <c r="AC486" s="8">
        <v>0</v>
      </c>
      <c r="AE486" s="8">
        <f t="shared" si="21"/>
        <v>910081</v>
      </c>
      <c r="AF486" s="8"/>
      <c r="AG486" s="55"/>
      <c r="AH486" s="55"/>
      <c r="AI486" s="55"/>
      <c r="AJ486" s="55"/>
      <c r="AK486" s="55"/>
      <c r="AL486" s="8">
        <f>+'Gov Rev'!AI486-'Gov Exp'!AE486+'Gov Exp'!AI486-'Gov Exp'!AK486</f>
        <v>146840</v>
      </c>
      <c r="AM486" s="6" t="str">
        <f>'Gov Rev'!A486</f>
        <v>Pioneer</v>
      </c>
      <c r="AN486" s="6" t="str">
        <f t="shared" si="22"/>
        <v>Pioneer</v>
      </c>
      <c r="AO486" s="6" t="b">
        <f t="shared" si="23"/>
        <v>1</v>
      </c>
    </row>
    <row r="487" spans="1:41" x14ac:dyDescent="0.2">
      <c r="A487" s="6" t="s">
        <v>427</v>
      </c>
      <c r="C487" s="6" t="s">
        <v>401</v>
      </c>
      <c r="E487" s="8">
        <v>685682.91</v>
      </c>
      <c r="G487" s="8">
        <v>0</v>
      </c>
      <c r="I487" s="8">
        <v>24988.81</v>
      </c>
      <c r="K487" s="8">
        <v>0</v>
      </c>
      <c r="M487" s="8">
        <v>270909.90999999997</v>
      </c>
      <c r="O487" s="8">
        <v>120800.47</v>
      </c>
      <c r="Q487" s="8">
        <v>693864.83</v>
      </c>
      <c r="S487" s="8">
        <v>72753.429999999993</v>
      </c>
      <c r="U487" s="8">
        <v>143357.01</v>
      </c>
      <c r="W487" s="8">
        <v>148080.84</v>
      </c>
      <c r="Y487" s="8">
        <v>0</v>
      </c>
      <c r="AA487" s="8">
        <v>0</v>
      </c>
      <c r="AC487" s="8">
        <v>0</v>
      </c>
      <c r="AE487" s="8">
        <f t="shared" si="21"/>
        <v>2160438.21</v>
      </c>
      <c r="AF487" s="8"/>
      <c r="AG487" s="55">
        <v>637333.26</v>
      </c>
      <c r="AH487" s="55"/>
      <c r="AI487" s="55">
        <v>1792798.22</v>
      </c>
      <c r="AJ487" s="55"/>
      <c r="AK487" s="55">
        <v>2430131.48</v>
      </c>
      <c r="AL487" s="8">
        <f>+'Gov Rev'!AI487-'Gov Exp'!AE487+'Gov Exp'!AI487-'Gov Exp'!AK487</f>
        <v>0</v>
      </c>
      <c r="AM487" s="6" t="str">
        <f>'Gov Rev'!A487</f>
        <v>Plain City</v>
      </c>
      <c r="AN487" s="6" t="str">
        <f t="shared" si="22"/>
        <v>Plain City</v>
      </c>
      <c r="AO487" s="6" t="b">
        <f t="shared" si="23"/>
        <v>1</v>
      </c>
    </row>
    <row r="488" spans="1:41" x14ac:dyDescent="0.2">
      <c r="A488" s="6" t="s">
        <v>774</v>
      </c>
      <c r="C488" s="6" t="s">
        <v>285</v>
      </c>
      <c r="E488" s="8">
        <v>9203.5499999999993</v>
      </c>
      <c r="G488" s="8">
        <v>0</v>
      </c>
      <c r="I488" s="8">
        <v>0</v>
      </c>
      <c r="K488" s="8">
        <v>0</v>
      </c>
      <c r="M488" s="8">
        <v>0</v>
      </c>
      <c r="O488" s="8">
        <v>1877.73</v>
      </c>
      <c r="Q488" s="8">
        <v>0</v>
      </c>
      <c r="S488" s="8">
        <v>0</v>
      </c>
      <c r="U488" s="8">
        <v>0</v>
      </c>
      <c r="W488" s="8">
        <v>0</v>
      </c>
      <c r="Y488" s="8">
        <v>0</v>
      </c>
      <c r="AA488" s="8">
        <v>0</v>
      </c>
      <c r="AC488" s="8">
        <v>0</v>
      </c>
      <c r="AE488" s="8">
        <f t="shared" si="21"/>
        <v>11081.279999999999</v>
      </c>
      <c r="AF488" s="8"/>
      <c r="AG488" s="55">
        <v>-6971.17</v>
      </c>
      <c r="AH488" s="55"/>
      <c r="AI488" s="55">
        <v>144319.57999999999</v>
      </c>
      <c r="AJ488" s="55"/>
      <c r="AK488" s="55">
        <v>137348.41</v>
      </c>
      <c r="AL488" s="8">
        <f>+'Gov Rev'!AI488-'Gov Exp'!AE488+'Gov Exp'!AI488-'Gov Exp'!AK488</f>
        <v>0</v>
      </c>
      <c r="AM488" s="6" t="str">
        <f>'Gov Rev'!A488</f>
        <v>Plainfield</v>
      </c>
      <c r="AN488" s="6" t="str">
        <f t="shared" si="22"/>
        <v>Plainfield</v>
      </c>
      <c r="AO488" s="6" t="b">
        <f t="shared" si="23"/>
        <v>1</v>
      </c>
    </row>
    <row r="489" spans="1:41" x14ac:dyDescent="0.2">
      <c r="A489" s="6" t="s">
        <v>150</v>
      </c>
      <c r="C489" s="6" t="s">
        <v>437</v>
      </c>
      <c r="E489" s="8">
        <v>42592.800000000003</v>
      </c>
      <c r="G489" s="8">
        <v>21274.03</v>
      </c>
      <c r="I489" s="8">
        <v>5536.88</v>
      </c>
      <c r="K489" s="8">
        <v>0</v>
      </c>
      <c r="M489" s="8">
        <v>0</v>
      </c>
      <c r="O489" s="8">
        <v>28332.79</v>
      </c>
      <c r="Q489" s="8">
        <v>109751.17</v>
      </c>
      <c r="S489" s="8">
        <v>545258.89</v>
      </c>
      <c r="U489" s="8">
        <v>27638.03</v>
      </c>
      <c r="W489" s="8">
        <v>0</v>
      </c>
      <c r="Y489" s="8">
        <v>0</v>
      </c>
      <c r="AA489" s="8">
        <v>0</v>
      </c>
      <c r="AC489" s="8">
        <v>0</v>
      </c>
      <c r="AE489" s="8">
        <f t="shared" si="21"/>
        <v>780384.59000000008</v>
      </c>
      <c r="AF489" s="8"/>
      <c r="AG489" s="55">
        <v>260303.71</v>
      </c>
      <c r="AH489" s="55"/>
      <c r="AI489" s="55">
        <v>534775.56999999995</v>
      </c>
      <c r="AJ489" s="55"/>
      <c r="AK489" s="55">
        <v>795079.28</v>
      </c>
      <c r="AL489" s="8">
        <f>+'Gov Rev'!AI489-'Gov Exp'!AE489+'Gov Exp'!AI489-'Gov Exp'!AK489</f>
        <v>0</v>
      </c>
      <c r="AM489" s="6" t="str">
        <f>'Gov Rev'!A489</f>
        <v>Pleasant Hill</v>
      </c>
      <c r="AN489" s="6" t="str">
        <f t="shared" si="22"/>
        <v>Pleasant Hill</v>
      </c>
      <c r="AO489" s="6" t="b">
        <f t="shared" si="23"/>
        <v>1</v>
      </c>
    </row>
    <row r="490" spans="1:41" x14ac:dyDescent="0.2">
      <c r="A490" s="6" t="s">
        <v>227</v>
      </c>
      <c r="C490" s="6" t="s">
        <v>541</v>
      </c>
      <c r="E490" s="8">
        <v>2179.77</v>
      </c>
      <c r="G490" s="8">
        <v>0</v>
      </c>
      <c r="I490" s="8">
        <v>0</v>
      </c>
      <c r="K490" s="8">
        <v>0</v>
      </c>
      <c r="M490" s="8">
        <v>0</v>
      </c>
      <c r="O490" s="8">
        <v>0</v>
      </c>
      <c r="Q490" s="8">
        <v>11274.22</v>
      </c>
      <c r="S490" s="8">
        <v>0</v>
      </c>
      <c r="U490" s="8">
        <v>0</v>
      </c>
      <c r="W490" s="8">
        <v>0</v>
      </c>
      <c r="Y490" s="8">
        <v>0</v>
      </c>
      <c r="AA490" s="8">
        <v>0</v>
      </c>
      <c r="AC490" s="8">
        <v>0</v>
      </c>
      <c r="AE490" s="8">
        <f t="shared" si="21"/>
        <v>13453.99</v>
      </c>
      <c r="AF490" s="8"/>
      <c r="AG490" s="55">
        <v>4438.12</v>
      </c>
      <c r="AH490" s="55"/>
      <c r="AI490" s="55">
        <v>82545.47</v>
      </c>
      <c r="AJ490" s="55"/>
      <c r="AK490" s="55">
        <v>86983.59</v>
      </c>
      <c r="AL490" s="8">
        <f>+'Gov Rev'!AI490-'Gov Exp'!AE490+'Gov Exp'!AI490-'Gov Exp'!AK490</f>
        <v>0</v>
      </c>
      <c r="AM490" s="6" t="str">
        <f>'Gov Rev'!A490</f>
        <v>Pleasant Plain</v>
      </c>
      <c r="AN490" s="6" t="str">
        <f t="shared" si="22"/>
        <v>Pleasant Plain</v>
      </c>
      <c r="AO490" s="6" t="b">
        <f t="shared" si="23"/>
        <v>1</v>
      </c>
    </row>
    <row r="491" spans="1:41" x14ac:dyDescent="0.2">
      <c r="A491" s="6" t="s">
        <v>59</v>
      </c>
      <c r="C491" s="6" t="s">
        <v>327</v>
      </c>
      <c r="E491" s="8">
        <v>52424.37</v>
      </c>
      <c r="G491" s="8">
        <v>3646.68</v>
      </c>
      <c r="I491" s="8">
        <v>4622.83</v>
      </c>
      <c r="K491" s="8">
        <v>2165.86</v>
      </c>
      <c r="M491" s="8">
        <v>110</v>
      </c>
      <c r="O491" s="8">
        <v>32794.959999999999</v>
      </c>
      <c r="Q491" s="8">
        <v>52608.22</v>
      </c>
      <c r="S491" s="8">
        <v>983.7</v>
      </c>
      <c r="U491" s="8">
        <v>1323.38</v>
      </c>
      <c r="W491" s="8">
        <v>0</v>
      </c>
      <c r="Y491" s="8">
        <v>8519.52</v>
      </c>
      <c r="AA491" s="8">
        <v>6468.75</v>
      </c>
      <c r="AC491" s="8">
        <v>0</v>
      </c>
      <c r="AE491" s="8">
        <f t="shared" si="21"/>
        <v>165668.27000000002</v>
      </c>
      <c r="AF491" s="8"/>
      <c r="AG491" s="55">
        <v>8911.75</v>
      </c>
      <c r="AH491" s="55"/>
      <c r="AI491" s="55">
        <v>93609.52</v>
      </c>
      <c r="AJ491" s="55"/>
      <c r="AK491" s="55">
        <v>102521.27</v>
      </c>
      <c r="AL491" s="8">
        <f>+'Gov Rev'!AI491-'Gov Exp'!AE491+'Gov Exp'!AI491-'Gov Exp'!AK491</f>
        <v>0</v>
      </c>
      <c r="AM491" s="6" t="str">
        <f>'Gov Rev'!A491</f>
        <v>Pleasantville</v>
      </c>
      <c r="AN491" s="6" t="str">
        <f t="shared" si="22"/>
        <v>Pleasantville</v>
      </c>
      <c r="AO491" s="6" t="b">
        <f t="shared" si="23"/>
        <v>1</v>
      </c>
    </row>
    <row r="492" spans="1:41" x14ac:dyDescent="0.2">
      <c r="A492" s="6" t="s">
        <v>194</v>
      </c>
      <c r="C492" s="6" t="s">
        <v>481</v>
      </c>
      <c r="E492" s="8">
        <v>474732.15</v>
      </c>
      <c r="G492" s="8">
        <v>72541.77</v>
      </c>
      <c r="I492" s="8">
        <v>20085.97</v>
      </c>
      <c r="K492" s="8">
        <v>245</v>
      </c>
      <c r="M492" s="8">
        <v>0</v>
      </c>
      <c r="O492" s="8">
        <v>77885.34</v>
      </c>
      <c r="Q492" s="8">
        <v>277931.21999999997</v>
      </c>
      <c r="S492" s="8">
        <v>23398.73</v>
      </c>
      <c r="U492" s="8">
        <v>56866.68</v>
      </c>
      <c r="W492" s="8">
        <v>6954</v>
      </c>
      <c r="Y492" s="8">
        <v>43479.75</v>
      </c>
      <c r="AA492" s="8">
        <v>0</v>
      </c>
      <c r="AC492" s="8">
        <v>0</v>
      </c>
      <c r="AE492" s="8">
        <f t="shared" si="21"/>
        <v>1054120.6099999999</v>
      </c>
      <c r="AF492" s="8"/>
      <c r="AG492" s="55">
        <v>-49522.98</v>
      </c>
      <c r="AH492" s="55"/>
      <c r="AI492" s="55">
        <v>506459.34</v>
      </c>
      <c r="AJ492" s="55"/>
      <c r="AK492" s="55">
        <v>456936.36</v>
      </c>
      <c r="AL492" s="8">
        <f>+'Gov Rev'!AI492-'Gov Exp'!AE492+'Gov Exp'!AI492-'Gov Exp'!AK492</f>
        <v>0</v>
      </c>
      <c r="AM492" s="6" t="str">
        <f>'Gov Rev'!A492</f>
        <v>Plymouth</v>
      </c>
      <c r="AN492" s="6" t="str">
        <f t="shared" si="22"/>
        <v>Plymouth</v>
      </c>
      <c r="AO492" s="6" t="b">
        <f t="shared" si="23"/>
        <v>1</v>
      </c>
    </row>
    <row r="493" spans="1:41" x14ac:dyDescent="0.2">
      <c r="A493" s="6" t="s">
        <v>136</v>
      </c>
      <c r="C493" s="6" t="s">
        <v>429</v>
      </c>
      <c r="E493" s="8">
        <v>467841.63</v>
      </c>
      <c r="G493" s="8">
        <v>16197</v>
      </c>
      <c r="I493" s="8">
        <v>18806.580000000002</v>
      </c>
      <c r="K493" s="8">
        <v>8990.0400000000009</v>
      </c>
      <c r="M493" s="8">
        <v>0</v>
      </c>
      <c r="O493" s="8">
        <v>254398.96</v>
      </c>
      <c r="Q493" s="8">
        <v>232283.56</v>
      </c>
      <c r="S493" s="8">
        <v>0</v>
      </c>
      <c r="U493" s="8">
        <v>0</v>
      </c>
      <c r="W493" s="8">
        <v>0</v>
      </c>
      <c r="Y493" s="8">
        <v>2.48</v>
      </c>
      <c r="AA493" s="8">
        <v>0</v>
      </c>
      <c r="AC493" s="8">
        <v>0</v>
      </c>
      <c r="AE493" s="8">
        <f t="shared" si="21"/>
        <v>998520.25</v>
      </c>
      <c r="AF493" s="8"/>
      <c r="AG493" s="55">
        <v>-30615.14</v>
      </c>
      <c r="AH493" s="55"/>
      <c r="AI493" s="55">
        <v>1814430.99</v>
      </c>
      <c r="AJ493" s="55"/>
      <c r="AK493" s="55">
        <v>1783815.85</v>
      </c>
      <c r="AL493" s="8">
        <f>+'Gov Rev'!AI493-'Gov Exp'!AE493+'Gov Exp'!AI493-'Gov Exp'!AK493</f>
        <v>0</v>
      </c>
      <c r="AM493" s="6" t="str">
        <f>'Gov Rev'!A493</f>
        <v>Poland</v>
      </c>
      <c r="AN493" s="6" t="str">
        <f t="shared" si="22"/>
        <v>Poland</v>
      </c>
      <c r="AO493" s="6" t="b">
        <f t="shared" si="23"/>
        <v>1</v>
      </c>
    </row>
    <row r="494" spans="1:41" x14ac:dyDescent="0.2">
      <c r="A494" s="6" t="s">
        <v>630</v>
      </c>
      <c r="C494" s="6" t="s">
        <v>848</v>
      </c>
      <c r="E494" s="8">
        <v>4534.83</v>
      </c>
      <c r="G494" s="8">
        <v>128.9</v>
      </c>
      <c r="I494" s="8">
        <v>1499.86</v>
      </c>
      <c r="K494" s="8">
        <v>1861.93</v>
      </c>
      <c r="M494" s="8">
        <v>316.88</v>
      </c>
      <c r="O494" s="8">
        <v>6310.94</v>
      </c>
      <c r="Q494" s="8">
        <v>23320.93</v>
      </c>
      <c r="S494" s="8">
        <v>0</v>
      </c>
      <c r="U494" s="8">
        <v>0</v>
      </c>
      <c r="W494" s="8">
        <v>0</v>
      </c>
      <c r="Y494" s="8">
        <v>0</v>
      </c>
      <c r="AA494" s="8">
        <v>0</v>
      </c>
      <c r="AC494" s="8">
        <v>0</v>
      </c>
      <c r="AE494" s="8">
        <f t="shared" si="21"/>
        <v>37974.270000000004</v>
      </c>
      <c r="AF494" s="8"/>
      <c r="AG494" s="55">
        <v>12130.28</v>
      </c>
      <c r="AH494" s="55"/>
      <c r="AI494" s="55">
        <v>89635.89</v>
      </c>
      <c r="AJ494" s="55"/>
      <c r="AK494" s="55">
        <v>101766.17</v>
      </c>
      <c r="AL494" s="8">
        <f>+'Gov Rev'!AI494-'Gov Exp'!AE494+'Gov Exp'!AI494-'Gov Exp'!AK494</f>
        <v>0</v>
      </c>
      <c r="AM494" s="6" t="str">
        <f>'Gov Rev'!A494</f>
        <v>Polk</v>
      </c>
      <c r="AN494" s="6" t="str">
        <f t="shared" si="22"/>
        <v>Polk</v>
      </c>
      <c r="AO494" s="6" t="b">
        <f t="shared" si="23"/>
        <v>1</v>
      </c>
    </row>
    <row r="495" spans="1:41" x14ac:dyDescent="0.2">
      <c r="A495" s="6" t="s">
        <v>775</v>
      </c>
      <c r="C495" s="6" t="s">
        <v>498</v>
      </c>
      <c r="E495" s="8">
        <v>16871</v>
      </c>
      <c r="G495" s="8">
        <v>827</v>
      </c>
      <c r="I495" s="8">
        <v>148</v>
      </c>
      <c r="K495" s="8">
        <v>6471</v>
      </c>
      <c r="M495" s="8">
        <v>7334</v>
      </c>
      <c r="O495" s="8">
        <v>0</v>
      </c>
      <c r="Q495" s="8">
        <v>22991</v>
      </c>
      <c r="S495" s="8">
        <v>0</v>
      </c>
      <c r="U495" s="8">
        <v>0</v>
      </c>
      <c r="W495" s="8">
        <v>0</v>
      </c>
      <c r="Y495" s="8">
        <v>0</v>
      </c>
      <c r="AA495" s="8">
        <v>0</v>
      </c>
      <c r="AC495" s="8">
        <v>0</v>
      </c>
      <c r="AE495" s="8">
        <f t="shared" si="21"/>
        <v>54642</v>
      </c>
      <c r="AF495" s="8"/>
      <c r="AG495" s="55"/>
      <c r="AH495" s="55"/>
      <c r="AI495" s="55"/>
      <c r="AJ495" s="55"/>
      <c r="AK495" s="55"/>
      <c r="AL495" s="8">
        <f>+'Gov Rev'!AI495-'Gov Exp'!AE495+'Gov Exp'!AI495-'Gov Exp'!AK495</f>
        <v>-5756</v>
      </c>
      <c r="AM495" s="6" t="str">
        <f>'Gov Rev'!A495</f>
        <v>Port Jefferson</v>
      </c>
      <c r="AN495" s="6" t="str">
        <f t="shared" si="22"/>
        <v>Port Jefferson</v>
      </c>
      <c r="AO495" s="6" t="b">
        <f t="shared" si="23"/>
        <v>1</v>
      </c>
    </row>
    <row r="496" spans="1:41" x14ac:dyDescent="0.2">
      <c r="A496" s="6" t="s">
        <v>631</v>
      </c>
      <c r="C496" s="6" t="s">
        <v>521</v>
      </c>
      <c r="E496" s="8">
        <v>23668.05</v>
      </c>
      <c r="G496" s="8">
        <v>5651.92</v>
      </c>
      <c r="I496" s="8">
        <v>668.44</v>
      </c>
      <c r="K496" s="8">
        <v>869.3</v>
      </c>
      <c r="M496" s="8">
        <v>0</v>
      </c>
      <c r="O496" s="8">
        <v>7947.88</v>
      </c>
      <c r="Q496" s="8">
        <v>58758.2</v>
      </c>
      <c r="S496" s="8">
        <v>2209.2800000000002</v>
      </c>
      <c r="U496" s="8">
        <v>0</v>
      </c>
      <c r="W496" s="8">
        <v>0</v>
      </c>
      <c r="Y496" s="8">
        <v>0</v>
      </c>
      <c r="AA496" s="8">
        <v>0</v>
      </c>
      <c r="AC496" s="8">
        <v>0</v>
      </c>
      <c r="AE496" s="8">
        <f t="shared" si="21"/>
        <v>99773.069999999992</v>
      </c>
      <c r="AF496" s="8"/>
      <c r="AG496" s="55">
        <v>63404.7</v>
      </c>
      <c r="AH496" s="55"/>
      <c r="AI496" s="55">
        <v>196764.27</v>
      </c>
      <c r="AJ496" s="55"/>
      <c r="AK496" s="55">
        <v>260168.97</v>
      </c>
      <c r="AL496" s="8">
        <f>+'Gov Rev'!AI496-'Gov Exp'!AE496+'Gov Exp'!AI496-'Gov Exp'!AK496</f>
        <v>0</v>
      </c>
      <c r="AM496" s="6" t="str">
        <f>'Gov Rev'!A496</f>
        <v>Port Washington</v>
      </c>
      <c r="AN496" s="6" t="str">
        <f t="shared" si="22"/>
        <v>Port Washington</v>
      </c>
      <c r="AO496" s="6" t="b">
        <f t="shared" si="23"/>
        <v>1</v>
      </c>
    </row>
    <row r="497" spans="1:41" x14ac:dyDescent="0.2">
      <c r="A497" s="6" t="s">
        <v>281</v>
      </c>
      <c r="C497" s="6" t="s">
        <v>280</v>
      </c>
      <c r="E497" s="8">
        <v>26241.75</v>
      </c>
      <c r="G497" s="8">
        <v>0</v>
      </c>
      <c r="I497" s="8">
        <v>0</v>
      </c>
      <c r="K497" s="8">
        <v>0</v>
      </c>
      <c r="M497" s="8">
        <v>0</v>
      </c>
      <c r="O497" s="8">
        <v>6376.88</v>
      </c>
      <c r="Q497" s="8">
        <v>52193.03</v>
      </c>
      <c r="S497" s="8">
        <v>0</v>
      </c>
      <c r="U497" s="8">
        <v>0</v>
      </c>
      <c r="W497" s="8">
        <v>0</v>
      </c>
      <c r="Y497" s="8">
        <v>0</v>
      </c>
      <c r="AA497" s="8">
        <v>0</v>
      </c>
      <c r="AC497" s="8">
        <v>100625.29</v>
      </c>
      <c r="AE497" s="8">
        <f t="shared" si="21"/>
        <v>185436.95</v>
      </c>
      <c r="AF497" s="8"/>
      <c r="AG497" s="55">
        <v>-86801.17</v>
      </c>
      <c r="AH497" s="55"/>
      <c r="AI497" s="55">
        <v>154098.85</v>
      </c>
      <c r="AJ497" s="55"/>
      <c r="AK497" s="55">
        <v>67297.679999999993</v>
      </c>
      <c r="AL497" s="8">
        <f>+'Gov Rev'!AI497-'Gov Exp'!AE497+'Gov Exp'!AI497-'Gov Exp'!AK497</f>
        <v>0</v>
      </c>
      <c r="AM497" s="6" t="str">
        <f>'Gov Rev'!A497</f>
        <v>Port William</v>
      </c>
      <c r="AN497" s="6" t="str">
        <f t="shared" si="22"/>
        <v>Port William</v>
      </c>
      <c r="AO497" s="6" t="b">
        <f t="shared" si="23"/>
        <v>1</v>
      </c>
    </row>
    <row r="498" spans="1:41" x14ac:dyDescent="0.2">
      <c r="A498" s="6" t="s">
        <v>241</v>
      </c>
      <c r="C498" s="6" t="s">
        <v>558</v>
      </c>
      <c r="E498" s="8">
        <v>6534.96</v>
      </c>
      <c r="G498" s="8">
        <v>291.89999999999998</v>
      </c>
      <c r="I498" s="8">
        <v>1037.4000000000001</v>
      </c>
      <c r="K498" s="8">
        <v>611.24</v>
      </c>
      <c r="M498" s="8">
        <v>0</v>
      </c>
      <c r="O498" s="8">
        <v>16128.73</v>
      </c>
      <c r="Q498" s="8">
        <v>46315.87</v>
      </c>
      <c r="S498" s="8">
        <v>0</v>
      </c>
      <c r="U498" s="8">
        <v>1418.83</v>
      </c>
      <c r="W498" s="8">
        <v>14.69</v>
      </c>
      <c r="Y498" s="8">
        <v>0</v>
      </c>
      <c r="AA498" s="8">
        <v>0</v>
      </c>
      <c r="AC498" s="8">
        <v>0</v>
      </c>
      <c r="AE498" s="8">
        <f t="shared" si="21"/>
        <v>72353.62000000001</v>
      </c>
      <c r="AF498" s="8"/>
      <c r="AG498" s="55">
        <v>111420.22</v>
      </c>
      <c r="AH498" s="55"/>
      <c r="AI498" s="55">
        <v>-24208.6</v>
      </c>
      <c r="AJ498" s="55"/>
      <c r="AK498" s="55">
        <v>87211.62</v>
      </c>
      <c r="AL498" s="8">
        <f>+'Gov Rev'!AI498-'Gov Exp'!AE498+'Gov Exp'!AI498-'Gov Exp'!AK498</f>
        <v>0</v>
      </c>
      <c r="AM498" s="6" t="str">
        <f>'Gov Rev'!A498</f>
        <v>Portage</v>
      </c>
      <c r="AN498" s="6" t="str">
        <f t="shared" si="22"/>
        <v>Portage</v>
      </c>
      <c r="AO498" s="6" t="b">
        <f t="shared" si="23"/>
        <v>1</v>
      </c>
    </row>
    <row r="499" spans="1:41" x14ac:dyDescent="0.2">
      <c r="A499" s="6" t="s">
        <v>438</v>
      </c>
      <c r="C499" s="6" t="s">
        <v>437</v>
      </c>
      <c r="E499" s="8">
        <v>6032</v>
      </c>
      <c r="G499" s="8">
        <v>0</v>
      </c>
      <c r="I499" s="8">
        <v>960</v>
      </c>
      <c r="K499" s="8">
        <v>0</v>
      </c>
      <c r="M499" s="8">
        <v>0</v>
      </c>
      <c r="O499" s="8">
        <v>8715</v>
      </c>
      <c r="Q499" s="8">
        <v>17535</v>
      </c>
      <c r="S499" s="8">
        <v>0</v>
      </c>
      <c r="U499" s="8">
        <v>5557.32</v>
      </c>
      <c r="W499" s="8">
        <v>2632.74</v>
      </c>
      <c r="Y499" s="8">
        <v>8200</v>
      </c>
      <c r="AA499" s="8">
        <v>0</v>
      </c>
      <c r="AC499" s="8">
        <v>0</v>
      </c>
      <c r="AE499" s="8">
        <f t="shared" si="21"/>
        <v>49632.06</v>
      </c>
      <c r="AF499" s="8"/>
      <c r="AG499" s="55">
        <v>-4294.03</v>
      </c>
      <c r="AH499" s="55"/>
      <c r="AI499" s="55">
        <v>84030.53</v>
      </c>
      <c r="AJ499" s="55"/>
      <c r="AK499" s="55">
        <v>79736.5</v>
      </c>
      <c r="AL499" s="8">
        <f>+'Gov Rev'!AI499-'Gov Exp'!AE499+'Gov Exp'!AI499-'Gov Exp'!AK499</f>
        <v>0</v>
      </c>
      <c r="AM499" s="6" t="str">
        <f>'Gov Rev'!A499</f>
        <v>Potsdam</v>
      </c>
      <c r="AN499" s="6" t="str">
        <f t="shared" si="22"/>
        <v>Potsdam</v>
      </c>
      <c r="AO499" s="6" t="b">
        <f t="shared" si="23"/>
        <v>1</v>
      </c>
    </row>
    <row r="500" spans="1:41" x14ac:dyDescent="0.2">
      <c r="A500" s="6" t="s">
        <v>19</v>
      </c>
      <c r="C500" s="6" t="s">
        <v>261</v>
      </c>
      <c r="E500" s="8">
        <v>256772.92</v>
      </c>
      <c r="G500" s="8">
        <v>4881.34</v>
      </c>
      <c r="I500" s="8">
        <v>0</v>
      </c>
      <c r="K500" s="8">
        <v>0</v>
      </c>
      <c r="M500" s="8">
        <v>0</v>
      </c>
      <c r="O500" s="8">
        <v>138164.63</v>
      </c>
      <c r="Q500" s="8">
        <v>154043.20000000001</v>
      </c>
      <c r="S500" s="8">
        <v>36314.5</v>
      </c>
      <c r="U500" s="8">
        <v>0</v>
      </c>
      <c r="W500" s="8">
        <v>0</v>
      </c>
      <c r="Y500" s="8">
        <v>10000</v>
      </c>
      <c r="AA500" s="8">
        <v>0</v>
      </c>
      <c r="AC500" s="8">
        <v>0</v>
      </c>
      <c r="AE500" s="8">
        <f t="shared" si="21"/>
        <v>600176.59000000008</v>
      </c>
      <c r="AF500" s="8"/>
      <c r="AG500" s="55">
        <v>-28502.77</v>
      </c>
      <c r="AH500" s="55"/>
      <c r="AI500" s="55">
        <v>323025.24</v>
      </c>
      <c r="AJ500" s="55"/>
      <c r="AK500" s="55">
        <v>294522.46999999997</v>
      </c>
      <c r="AL500" s="8">
        <f>+'Gov Rev'!AI500-'Gov Exp'!AE500+'Gov Exp'!AI500-'Gov Exp'!AK500</f>
        <v>0</v>
      </c>
      <c r="AM500" s="6" t="str">
        <f>'Gov Rev'!A500</f>
        <v>Powhatan Point</v>
      </c>
      <c r="AN500" s="6" t="str">
        <f t="shared" si="22"/>
        <v>Powhatan Point</v>
      </c>
      <c r="AO500" s="6" t="b">
        <f t="shared" si="23"/>
        <v>1</v>
      </c>
    </row>
    <row r="501" spans="1:41" x14ac:dyDescent="0.2">
      <c r="A501" s="6" t="s">
        <v>119</v>
      </c>
      <c r="C501" s="6" t="s">
        <v>406</v>
      </c>
      <c r="E501" s="8">
        <v>173059.44</v>
      </c>
      <c r="G501" s="8">
        <v>0</v>
      </c>
      <c r="I501" s="8">
        <v>150</v>
      </c>
      <c r="K501" s="8">
        <v>0</v>
      </c>
      <c r="M501" s="8">
        <v>0</v>
      </c>
      <c r="O501" s="8">
        <v>33567.69</v>
      </c>
      <c r="Q501" s="8">
        <v>54598.2</v>
      </c>
      <c r="S501" s="8">
        <v>0</v>
      </c>
      <c r="U501" s="8">
        <v>0</v>
      </c>
      <c r="W501" s="8">
        <v>0</v>
      </c>
      <c r="Y501" s="8">
        <v>0</v>
      </c>
      <c r="AA501" s="8">
        <v>0</v>
      </c>
      <c r="AC501" s="8">
        <v>1458.41</v>
      </c>
      <c r="AE501" s="8">
        <f t="shared" si="21"/>
        <v>262833.74</v>
      </c>
      <c r="AF501" s="8"/>
      <c r="AG501" s="55">
        <v>-1612.42</v>
      </c>
      <c r="AH501" s="55"/>
      <c r="AI501" s="55">
        <v>13437.32</v>
      </c>
      <c r="AJ501" s="55"/>
      <c r="AK501" s="55">
        <v>11824.9</v>
      </c>
      <c r="AL501" s="8">
        <f>+'Gov Rev'!AI501-'Gov Exp'!AE501+'Gov Exp'!AI501-'Gov Exp'!AK501</f>
        <v>1.6370904631912708E-11</v>
      </c>
      <c r="AM501" s="6" t="str">
        <f>'Gov Rev'!A501</f>
        <v>Proctorville</v>
      </c>
      <c r="AN501" s="6" t="str">
        <f t="shared" si="22"/>
        <v>Proctorville</v>
      </c>
      <c r="AO501" s="6" t="b">
        <f t="shared" si="23"/>
        <v>1</v>
      </c>
    </row>
    <row r="502" spans="1:41" x14ac:dyDescent="0.2">
      <c r="A502" s="6" t="s">
        <v>140</v>
      </c>
      <c r="C502" s="6" t="s">
        <v>430</v>
      </c>
      <c r="E502" s="8">
        <v>38370.449999999997</v>
      </c>
      <c r="G502" s="8">
        <v>1049.2</v>
      </c>
      <c r="I502" s="8">
        <v>12265.55</v>
      </c>
      <c r="K502" s="8">
        <v>0</v>
      </c>
      <c r="M502" s="8">
        <v>0</v>
      </c>
      <c r="O502" s="8">
        <v>52036.79</v>
      </c>
      <c r="Q502" s="8">
        <v>57242.71</v>
      </c>
      <c r="S502" s="8">
        <v>0</v>
      </c>
      <c r="U502" s="8">
        <v>0</v>
      </c>
      <c r="W502" s="8">
        <v>0</v>
      </c>
      <c r="Y502" s="8">
        <v>0</v>
      </c>
      <c r="AA502" s="8">
        <v>0</v>
      </c>
      <c r="AC502" s="8">
        <v>0</v>
      </c>
      <c r="AE502" s="8">
        <f t="shared" si="21"/>
        <v>160964.69999999998</v>
      </c>
      <c r="AF502" s="8"/>
      <c r="AG502" s="55">
        <v>8257.67</v>
      </c>
      <c r="AH502" s="55"/>
      <c r="AI502" s="55">
        <v>73398.42</v>
      </c>
      <c r="AJ502" s="55"/>
      <c r="AK502" s="55">
        <v>81656.09</v>
      </c>
      <c r="AL502" s="8">
        <f>+'Gov Rev'!AI502-'Gov Exp'!AE502+'Gov Exp'!AI502-'Gov Exp'!AK502</f>
        <v>0</v>
      </c>
      <c r="AM502" s="6" t="str">
        <f>'Gov Rev'!A502</f>
        <v>Prospect</v>
      </c>
      <c r="AN502" s="6" t="str">
        <f t="shared" si="22"/>
        <v>Prospect</v>
      </c>
      <c r="AO502" s="6" t="b">
        <f t="shared" si="23"/>
        <v>1</v>
      </c>
    </row>
    <row r="503" spans="1:41" x14ac:dyDescent="0.2">
      <c r="A503" s="6" t="s">
        <v>167</v>
      </c>
      <c r="C503" s="6" t="s">
        <v>192</v>
      </c>
      <c r="E503" s="8">
        <v>634396.62</v>
      </c>
      <c r="G503" s="8">
        <v>13747.21</v>
      </c>
      <c r="I503" s="8">
        <v>265373.21999999997</v>
      </c>
      <c r="K503" s="8">
        <v>4707.28</v>
      </c>
      <c r="M503" s="8">
        <v>0</v>
      </c>
      <c r="O503" s="8">
        <v>76536.639999999999</v>
      </c>
      <c r="Q503" s="8">
        <v>355119.11</v>
      </c>
      <c r="S503" s="8">
        <v>696656.16</v>
      </c>
      <c r="U503" s="8">
        <v>0</v>
      </c>
      <c r="W503" s="8">
        <v>132187.09</v>
      </c>
      <c r="Y503" s="8">
        <v>5000</v>
      </c>
      <c r="AA503" s="8">
        <v>34388</v>
      </c>
      <c r="AC503" s="8">
        <v>0</v>
      </c>
      <c r="AE503" s="8">
        <f t="shared" si="21"/>
        <v>2218111.33</v>
      </c>
      <c r="AF503" s="8"/>
      <c r="AG503" s="55">
        <v>5323569.41</v>
      </c>
      <c r="AH503" s="55"/>
      <c r="AI503" s="55">
        <v>1204891.6100000001</v>
      </c>
      <c r="AJ503" s="55"/>
      <c r="AK503" s="55">
        <v>6528461.0199999996</v>
      </c>
      <c r="AL503" s="8">
        <f>+'Gov Rev'!AI503-'Gov Exp'!AE503+'Gov Exp'!AI503-'Gov Exp'!AK503</f>
        <v>0</v>
      </c>
      <c r="AM503" s="6" t="str">
        <f>'Gov Rev'!A503</f>
        <v>Put-In-Bay</v>
      </c>
      <c r="AN503" s="6" t="str">
        <f t="shared" si="22"/>
        <v>Put-In-Bay</v>
      </c>
      <c r="AO503" s="6" t="b">
        <f t="shared" si="23"/>
        <v>1</v>
      </c>
    </row>
    <row r="504" spans="1:41" x14ac:dyDescent="0.2">
      <c r="A504" s="6" t="s">
        <v>84</v>
      </c>
      <c r="C504" s="6" t="s">
        <v>349</v>
      </c>
      <c r="E504" s="8">
        <v>40231.29</v>
      </c>
      <c r="G504" s="8">
        <v>2819.41</v>
      </c>
      <c r="I504" s="8">
        <v>6069.54</v>
      </c>
      <c r="K504" s="8">
        <v>0</v>
      </c>
      <c r="M504" s="8">
        <v>0</v>
      </c>
      <c r="O504" s="8">
        <v>30036.15</v>
      </c>
      <c r="Q504" s="8">
        <v>18982.82</v>
      </c>
      <c r="S504" s="8">
        <v>13893.55</v>
      </c>
      <c r="U504" s="8">
        <v>28300.74</v>
      </c>
      <c r="W504" s="8">
        <v>2933.22</v>
      </c>
      <c r="Y504" s="8">
        <v>0</v>
      </c>
      <c r="AA504" s="8">
        <v>0</v>
      </c>
      <c r="AC504" s="8">
        <v>0</v>
      </c>
      <c r="AE504" s="8">
        <f t="shared" si="21"/>
        <v>143266.72</v>
      </c>
      <c r="AF504" s="8"/>
      <c r="AG504" s="55">
        <v>147377.69</v>
      </c>
      <c r="AH504" s="55"/>
      <c r="AI504" s="55">
        <v>97126.37</v>
      </c>
      <c r="AJ504" s="55"/>
      <c r="AK504" s="55">
        <v>244504.06</v>
      </c>
      <c r="AL504" s="8">
        <f>+'Gov Rev'!AI504-'Gov Exp'!AE504+'Gov Exp'!AI504-'Gov Exp'!AK504</f>
        <v>0</v>
      </c>
      <c r="AM504" s="6" t="str">
        <f>'Gov Rev'!A504</f>
        <v>Quaker City</v>
      </c>
      <c r="AN504" s="6" t="str">
        <f t="shared" si="22"/>
        <v>Quaker City</v>
      </c>
      <c r="AO504" s="6" t="b">
        <f t="shared" si="23"/>
        <v>1</v>
      </c>
    </row>
    <row r="505" spans="1:41" x14ac:dyDescent="0.2">
      <c r="A505" s="6" t="s">
        <v>125</v>
      </c>
      <c r="C505" s="6" t="s">
        <v>414</v>
      </c>
      <c r="E505" s="8">
        <v>25700.41</v>
      </c>
      <c r="G505" s="8">
        <v>0</v>
      </c>
      <c r="I505" s="8">
        <v>22108.92</v>
      </c>
      <c r="K505" s="8">
        <v>0</v>
      </c>
      <c r="M505" s="8">
        <v>0</v>
      </c>
      <c r="O505" s="8">
        <v>23569.69</v>
      </c>
      <c r="Q505" s="8">
        <v>49379.3</v>
      </c>
      <c r="S505" s="8">
        <v>9628.35</v>
      </c>
      <c r="U505" s="8">
        <v>18256.71</v>
      </c>
      <c r="W505" s="8">
        <v>6601.99</v>
      </c>
      <c r="Y505" s="8">
        <v>0</v>
      </c>
      <c r="AA505" s="8">
        <v>0</v>
      </c>
      <c r="AC505" s="8">
        <v>0</v>
      </c>
      <c r="AE505" s="8">
        <f t="shared" si="21"/>
        <v>155245.37</v>
      </c>
      <c r="AF505" s="8"/>
      <c r="AG505" s="55">
        <v>4564.59</v>
      </c>
      <c r="AH505" s="55"/>
      <c r="AI505" s="55">
        <v>186943.84</v>
      </c>
      <c r="AJ505" s="55"/>
      <c r="AK505" s="55">
        <v>191508.43</v>
      </c>
      <c r="AL505" s="8">
        <f>+'Gov Rev'!AI505-'Gov Exp'!AE505+'Gov Exp'!AI505-'Gov Exp'!AK505</f>
        <v>0</v>
      </c>
      <c r="AM505" s="6" t="str">
        <f>'Gov Rev'!A505</f>
        <v>Quincy</v>
      </c>
      <c r="AN505" s="6" t="str">
        <f t="shared" si="22"/>
        <v>Quincy</v>
      </c>
      <c r="AO505" s="6" t="b">
        <f t="shared" si="23"/>
        <v>1</v>
      </c>
    </row>
    <row r="506" spans="1:41" x14ac:dyDescent="0.2">
      <c r="A506" s="6" t="s">
        <v>146</v>
      </c>
      <c r="C506" s="6" t="s">
        <v>431</v>
      </c>
      <c r="E506" s="8">
        <v>94096.88</v>
      </c>
      <c r="G506" s="8">
        <v>12177.4</v>
      </c>
      <c r="I506" s="8">
        <v>39000</v>
      </c>
      <c r="K506" s="8">
        <v>492.96</v>
      </c>
      <c r="M506" s="8">
        <v>26231.83</v>
      </c>
      <c r="O506" s="8">
        <v>54390.21</v>
      </c>
      <c r="Q506" s="8">
        <v>112191.72</v>
      </c>
      <c r="S506" s="8">
        <v>13824.38</v>
      </c>
      <c r="U506" s="8">
        <v>13100</v>
      </c>
      <c r="W506" s="8">
        <v>1720</v>
      </c>
      <c r="Y506" s="8">
        <v>0</v>
      </c>
      <c r="AA506" s="8">
        <v>0</v>
      </c>
      <c r="AC506" s="8">
        <v>0</v>
      </c>
      <c r="AE506" s="8">
        <f t="shared" si="21"/>
        <v>367225.38</v>
      </c>
      <c r="AF506" s="8"/>
      <c r="AG506" s="55">
        <v>-1690.88</v>
      </c>
      <c r="AH506" s="55"/>
      <c r="AI506" s="55">
        <v>200326.65</v>
      </c>
      <c r="AJ506" s="55"/>
      <c r="AK506" s="55">
        <v>198635.77</v>
      </c>
      <c r="AL506" s="8">
        <f>+'Gov Rev'!AI506-'Gov Exp'!AE506+'Gov Exp'!AI506-'Gov Exp'!AK506</f>
        <v>0</v>
      </c>
      <c r="AM506" s="6" t="str">
        <f>'Gov Rev'!A506</f>
        <v>Racine</v>
      </c>
      <c r="AN506" s="6" t="str">
        <f t="shared" si="22"/>
        <v>Racine</v>
      </c>
      <c r="AO506" s="6" t="b">
        <f t="shared" si="23"/>
        <v>1</v>
      </c>
    </row>
    <row r="507" spans="1:41" x14ac:dyDescent="0.2">
      <c r="A507" s="6" t="s">
        <v>492</v>
      </c>
      <c r="C507" s="6" t="s">
        <v>491</v>
      </c>
      <c r="E507" s="8">
        <v>0</v>
      </c>
      <c r="G507" s="8">
        <v>0</v>
      </c>
      <c r="I507" s="8">
        <v>0</v>
      </c>
      <c r="K507" s="8">
        <v>0</v>
      </c>
      <c r="M507" s="8">
        <v>0</v>
      </c>
      <c r="O507" s="8">
        <v>0</v>
      </c>
      <c r="Q507" s="8">
        <v>173918</v>
      </c>
      <c r="S507" s="8">
        <v>0</v>
      </c>
      <c r="U507" s="8">
        <v>0</v>
      </c>
      <c r="W507" s="8">
        <v>0</v>
      </c>
      <c r="Y507" s="8">
        <v>0</v>
      </c>
      <c r="AA507" s="8">
        <v>0</v>
      </c>
      <c r="AC507" s="8">
        <v>0</v>
      </c>
      <c r="AE507" s="8">
        <f t="shared" si="21"/>
        <v>173918</v>
      </c>
      <c r="AF507" s="8"/>
      <c r="AG507" s="55"/>
      <c r="AH507" s="55"/>
      <c r="AI507" s="55"/>
      <c r="AJ507" s="55"/>
      <c r="AK507" s="55"/>
      <c r="AL507" s="8">
        <f>+'Gov Rev'!AI507-'Gov Exp'!AE507+'Gov Exp'!AI507-'Gov Exp'!AK507</f>
        <v>-20002</v>
      </c>
      <c r="AM507" s="6" t="str">
        <f>'Gov Rev'!A507</f>
        <v>Rarden</v>
      </c>
      <c r="AN507" s="6" t="str">
        <f t="shared" si="22"/>
        <v>Rarden</v>
      </c>
      <c r="AO507" s="6" t="b">
        <f t="shared" si="23"/>
        <v>1</v>
      </c>
    </row>
    <row r="508" spans="1:41" x14ac:dyDescent="0.2">
      <c r="A508" s="6" t="s">
        <v>362</v>
      </c>
      <c r="C508" s="6" t="s">
        <v>360</v>
      </c>
      <c r="E508" s="8">
        <v>16583.89</v>
      </c>
      <c r="G508" s="8">
        <v>1724.8</v>
      </c>
      <c r="I508" s="8">
        <v>17623.400000000001</v>
      </c>
      <c r="K508" s="8">
        <v>1258.18</v>
      </c>
      <c r="M508" s="8">
        <v>7.05</v>
      </c>
      <c r="O508" s="8">
        <v>30982.75</v>
      </c>
      <c r="Q508" s="8">
        <v>22664.13</v>
      </c>
      <c r="S508" s="8">
        <v>6345.9</v>
      </c>
      <c r="U508" s="8">
        <v>23208.65</v>
      </c>
      <c r="W508" s="8">
        <v>60198.7</v>
      </c>
      <c r="Y508" s="8">
        <v>0</v>
      </c>
      <c r="AA508" s="8">
        <v>0</v>
      </c>
      <c r="AC508" s="8">
        <v>0</v>
      </c>
      <c r="AE508" s="8">
        <f t="shared" si="21"/>
        <v>180597.45</v>
      </c>
      <c r="AF508" s="8"/>
      <c r="AG508" s="55">
        <v>-7927.65</v>
      </c>
      <c r="AH508" s="55"/>
      <c r="AI508" s="55">
        <v>553172.62</v>
      </c>
      <c r="AJ508" s="55"/>
      <c r="AK508" s="55">
        <v>545244.97</v>
      </c>
      <c r="AL508" s="8">
        <f>+'Gov Rev'!AI508-'Gov Exp'!AE508+'Gov Exp'!AI508-'Gov Exp'!AK508</f>
        <v>0</v>
      </c>
      <c r="AM508" s="6" t="str">
        <f>'Gov Rev'!A508</f>
        <v>Rawson</v>
      </c>
      <c r="AN508" s="6" t="str">
        <f t="shared" si="22"/>
        <v>Rawson</v>
      </c>
      <c r="AO508" s="6" t="b">
        <f t="shared" si="23"/>
        <v>1</v>
      </c>
    </row>
    <row r="509" spans="1:41" x14ac:dyDescent="0.2">
      <c r="A509" s="6" t="s">
        <v>819</v>
      </c>
      <c r="C509" s="6" t="s">
        <v>688</v>
      </c>
      <c r="E509" s="8">
        <v>15526</v>
      </c>
      <c r="G509" s="8">
        <v>739</v>
      </c>
      <c r="I509" s="8">
        <v>9750</v>
      </c>
      <c r="K509" s="8">
        <v>0</v>
      </c>
      <c r="M509" s="8">
        <v>0</v>
      </c>
      <c r="O509" s="8">
        <v>16600</v>
      </c>
      <c r="Q509" s="8">
        <v>37309</v>
      </c>
      <c r="S509" s="8">
        <v>0</v>
      </c>
      <c r="U509" s="8">
        <v>0</v>
      </c>
      <c r="W509" s="8">
        <v>0</v>
      </c>
      <c r="Y509" s="8">
        <v>12227</v>
      </c>
      <c r="AA509" s="8">
        <v>0</v>
      </c>
      <c r="AC509" s="8">
        <v>0</v>
      </c>
      <c r="AE509" s="8">
        <f t="shared" si="21"/>
        <v>92151</v>
      </c>
      <c r="AF509" s="8"/>
      <c r="AG509" s="55"/>
      <c r="AH509" s="55"/>
      <c r="AI509" s="55"/>
      <c r="AJ509" s="55"/>
      <c r="AK509" s="55"/>
      <c r="AL509" s="8">
        <f>+'Gov Rev'!AI509-'Gov Exp'!AE509+'Gov Exp'!AI509-'Gov Exp'!AK509</f>
        <v>25940</v>
      </c>
      <c r="AM509" s="6" t="str">
        <f>'Gov Rev'!A509</f>
        <v>Rayland</v>
      </c>
      <c r="AN509" s="6" t="str">
        <f t="shared" si="22"/>
        <v>Rayland</v>
      </c>
      <c r="AO509" s="6" t="b">
        <f t="shared" si="23"/>
        <v>1</v>
      </c>
    </row>
    <row r="510" spans="1:41" x14ac:dyDescent="0.2">
      <c r="A510" s="6" t="s">
        <v>213</v>
      </c>
      <c r="C510" s="6" t="s">
        <v>511</v>
      </c>
      <c r="E510" s="8">
        <v>1691000.46</v>
      </c>
      <c r="G510" s="8">
        <v>0</v>
      </c>
      <c r="I510" s="8">
        <v>13555.17</v>
      </c>
      <c r="K510" s="8">
        <v>232457.68</v>
      </c>
      <c r="M510" s="8">
        <v>0</v>
      </c>
      <c r="O510" s="8">
        <v>467182.78</v>
      </c>
      <c r="Q510" s="8">
        <v>462783.49</v>
      </c>
      <c r="S510" s="8">
        <v>1171154.25</v>
      </c>
      <c r="U510" s="8">
        <v>72823.92</v>
      </c>
      <c r="W510" s="8">
        <v>75844.94</v>
      </c>
      <c r="Y510" s="8">
        <v>792876.73</v>
      </c>
      <c r="AA510" s="8">
        <v>50000</v>
      </c>
      <c r="AC510" s="8">
        <v>0</v>
      </c>
      <c r="AE510" s="8">
        <f t="shared" si="21"/>
        <v>5029679.42</v>
      </c>
      <c r="AF510" s="8"/>
      <c r="AG510" s="55">
        <v>593153.18000000005</v>
      </c>
      <c r="AH510" s="55"/>
      <c r="AI510" s="55">
        <v>1218515.27</v>
      </c>
      <c r="AJ510" s="55"/>
      <c r="AK510" s="55">
        <v>1811668.45</v>
      </c>
      <c r="AL510" s="8">
        <f>+'Gov Rev'!AI510-'Gov Exp'!AE510+'Gov Exp'!AI510-'Gov Exp'!AK510</f>
        <v>0</v>
      </c>
      <c r="AM510" s="6" t="str">
        <f>'Gov Rev'!A510</f>
        <v>Reminderville</v>
      </c>
      <c r="AN510" s="6" t="str">
        <f t="shared" si="22"/>
        <v>Reminderville</v>
      </c>
      <c r="AO510" s="6" t="b">
        <f t="shared" si="23"/>
        <v>1</v>
      </c>
    </row>
    <row r="511" spans="1:41" x14ac:dyDescent="0.2">
      <c r="A511" s="6" t="s">
        <v>840</v>
      </c>
      <c r="C511" s="6" t="s">
        <v>464</v>
      </c>
      <c r="E511" s="8">
        <v>1094.48</v>
      </c>
      <c r="G511" s="8">
        <v>0</v>
      </c>
      <c r="I511" s="8">
        <v>0</v>
      </c>
      <c r="K511" s="8">
        <v>0</v>
      </c>
      <c r="M511" s="8">
        <v>0</v>
      </c>
      <c r="O511" s="8">
        <v>2490.62</v>
      </c>
      <c r="Q511" s="8">
        <v>7168.42</v>
      </c>
      <c r="S511" s="8">
        <v>0</v>
      </c>
      <c r="U511" s="8">
        <v>0</v>
      </c>
      <c r="W511" s="8">
        <v>0</v>
      </c>
      <c r="Y511" s="8">
        <v>0</v>
      </c>
      <c r="AA511" s="8">
        <v>0</v>
      </c>
      <c r="AC511" s="8">
        <v>0</v>
      </c>
      <c r="AE511" s="8">
        <f t="shared" si="21"/>
        <v>10753.52</v>
      </c>
      <c r="AF511" s="8"/>
      <c r="AG511" s="55">
        <v>-3072.01</v>
      </c>
      <c r="AH511" s="55"/>
      <c r="AI511" s="55">
        <v>5690.31</v>
      </c>
      <c r="AJ511" s="55"/>
      <c r="AK511" s="55">
        <v>2618.3000000000002</v>
      </c>
      <c r="AL511" s="8">
        <f>+'Gov Rev'!AI511-'Gov Exp'!AE511+'Gov Exp'!AI511-'Gov Exp'!AK511</f>
        <v>0</v>
      </c>
      <c r="AM511" s="6" t="str">
        <f>'Gov Rev'!A511</f>
        <v>Rendville</v>
      </c>
      <c r="AN511" s="6" t="str">
        <f t="shared" si="22"/>
        <v>Rendville</v>
      </c>
      <c r="AO511" s="6" t="b">
        <f t="shared" si="23"/>
        <v>1</v>
      </c>
    </row>
    <row r="512" spans="1:41" x14ac:dyDescent="0.2">
      <c r="A512" s="6" t="s">
        <v>496</v>
      </c>
      <c r="C512" s="6" t="s">
        <v>494</v>
      </c>
      <c r="E512" s="8">
        <v>35467.019999999997</v>
      </c>
      <c r="G512" s="8">
        <v>0</v>
      </c>
      <c r="I512" s="8">
        <v>0</v>
      </c>
      <c r="K512" s="8">
        <v>9187.6200000000008</v>
      </c>
      <c r="M512" s="8">
        <v>0</v>
      </c>
      <c r="O512" s="8">
        <v>11161.96</v>
      </c>
      <c r="Q512" s="8">
        <v>28232.880000000001</v>
      </c>
      <c r="S512" s="8">
        <v>0</v>
      </c>
      <c r="U512" s="8">
        <v>0</v>
      </c>
      <c r="W512" s="8">
        <v>0</v>
      </c>
      <c r="Y512" s="8">
        <v>1604.64</v>
      </c>
      <c r="AA512" s="8">
        <v>0</v>
      </c>
      <c r="AC512" s="8">
        <v>0</v>
      </c>
      <c r="AE512" s="8">
        <f t="shared" si="21"/>
        <v>85654.12</v>
      </c>
      <c r="AF512" s="8"/>
      <c r="AG512" s="55">
        <v>42935.21</v>
      </c>
      <c r="AH512" s="55"/>
      <c r="AI512" s="55">
        <v>88353.41</v>
      </c>
      <c r="AJ512" s="55"/>
      <c r="AK512" s="55">
        <v>131288.62</v>
      </c>
      <c r="AL512" s="8">
        <f>+'Gov Rev'!AI512-'Gov Exp'!AE512+'Gov Exp'!AI512-'Gov Exp'!AK512</f>
        <v>0</v>
      </c>
      <c r="AM512" s="6" t="str">
        <f>'Gov Rev'!A512</f>
        <v>Republic</v>
      </c>
      <c r="AN512" s="6" t="str">
        <f t="shared" si="22"/>
        <v>Republic</v>
      </c>
      <c r="AO512" s="6" t="b">
        <f t="shared" si="23"/>
        <v>1</v>
      </c>
    </row>
    <row r="513" spans="1:41" x14ac:dyDescent="0.2">
      <c r="A513" s="6" t="s">
        <v>514</v>
      </c>
      <c r="C513" s="6" t="s">
        <v>511</v>
      </c>
      <c r="E513" s="8">
        <v>4145406</v>
      </c>
      <c r="G513" s="8">
        <v>180397</v>
      </c>
      <c r="I513" s="8">
        <v>303160</v>
      </c>
      <c r="K513" s="8">
        <v>199915</v>
      </c>
      <c r="M513" s="8">
        <v>201226</v>
      </c>
      <c r="O513" s="8">
        <v>1781410</v>
      </c>
      <c r="Q513" s="8">
        <v>1164310</v>
      </c>
      <c r="S513" s="8">
        <v>802995</v>
      </c>
      <c r="U513" s="8">
        <v>1557905</v>
      </c>
      <c r="W513" s="8">
        <v>235860</v>
      </c>
      <c r="Y513" s="8">
        <v>7324587</v>
      </c>
      <c r="AA513" s="8">
        <v>119553</v>
      </c>
      <c r="AC513" s="8">
        <v>0</v>
      </c>
      <c r="AE513" s="8">
        <f t="shared" si="21"/>
        <v>18016724</v>
      </c>
      <c r="AF513" s="8"/>
      <c r="AG513" s="55"/>
      <c r="AH513" s="55"/>
      <c r="AI513" s="55"/>
      <c r="AJ513" s="55"/>
      <c r="AK513" s="55"/>
      <c r="AL513" s="8">
        <f>+'Gov Rev'!AI513-'Gov Exp'!AE513+'Gov Exp'!AI513-'Gov Exp'!AK513</f>
        <v>1411444</v>
      </c>
      <c r="AM513" s="6" t="str">
        <f>'Gov Rev'!A513</f>
        <v>Richfield</v>
      </c>
      <c r="AN513" s="6" t="str">
        <f t="shared" si="22"/>
        <v>Richfield</v>
      </c>
      <c r="AO513" s="6" t="b">
        <f t="shared" si="23"/>
        <v>1</v>
      </c>
    </row>
    <row r="514" spans="1:41" x14ac:dyDescent="0.2">
      <c r="A514" s="6" t="s">
        <v>113</v>
      </c>
      <c r="C514" s="6" t="s">
        <v>390</v>
      </c>
      <c r="E514" s="8">
        <v>25593.1</v>
      </c>
      <c r="G514" s="8">
        <v>0</v>
      </c>
      <c r="I514" s="8">
        <v>10043.41</v>
      </c>
      <c r="K514" s="8">
        <v>0</v>
      </c>
      <c r="M514" s="8">
        <v>0</v>
      </c>
      <c r="O514" s="8">
        <v>19277.36</v>
      </c>
      <c r="Q514" s="8">
        <v>99480.25</v>
      </c>
      <c r="S514" s="8">
        <v>0</v>
      </c>
      <c r="U514" s="8">
        <v>5894.14</v>
      </c>
      <c r="W514" s="8">
        <v>0</v>
      </c>
      <c r="Y514" s="8">
        <v>13091.3</v>
      </c>
      <c r="AA514" s="8">
        <v>0</v>
      </c>
      <c r="AC514" s="8">
        <v>1737.54</v>
      </c>
      <c r="AE514" s="8">
        <f t="shared" si="21"/>
        <v>175117.1</v>
      </c>
      <c r="AF514" s="8"/>
      <c r="AG514" s="55">
        <v>967.42</v>
      </c>
      <c r="AH514" s="55"/>
      <c r="AI514" s="55">
        <v>77807.45</v>
      </c>
      <c r="AJ514" s="55"/>
      <c r="AK514" s="55">
        <v>78774.87</v>
      </c>
      <c r="AL514" s="8">
        <f>+'Gov Rev'!AI514-'Gov Exp'!AE514+'Gov Exp'!AI514-'Gov Exp'!AK514</f>
        <v>0</v>
      </c>
      <c r="AM514" s="6" t="str">
        <f>'Gov Rev'!A514</f>
        <v>Richmond</v>
      </c>
      <c r="AN514" s="6" t="str">
        <f t="shared" si="22"/>
        <v>Richmond</v>
      </c>
      <c r="AO514" s="6" t="b">
        <f t="shared" si="23"/>
        <v>1</v>
      </c>
    </row>
    <row r="515" spans="1:41" x14ac:dyDescent="0.2">
      <c r="A515" s="6" t="s">
        <v>371</v>
      </c>
      <c r="C515" s="6" t="s">
        <v>366</v>
      </c>
      <c r="E515" s="8">
        <v>23006.65</v>
      </c>
      <c r="G515" s="8">
        <v>4950.47</v>
      </c>
      <c r="I515" s="8">
        <v>0</v>
      </c>
      <c r="K515" s="8">
        <v>0</v>
      </c>
      <c r="M515" s="8">
        <v>1241.73</v>
      </c>
      <c r="O515" s="8">
        <v>11796.12</v>
      </c>
      <c r="Q515" s="8">
        <v>24634.22</v>
      </c>
      <c r="S515" s="8">
        <v>0</v>
      </c>
      <c r="U515" s="8">
        <v>0</v>
      </c>
      <c r="W515" s="8">
        <v>7738.46</v>
      </c>
      <c r="Y515" s="8">
        <v>0</v>
      </c>
      <c r="AA515" s="8">
        <v>2000</v>
      </c>
      <c r="AC515" s="8">
        <v>0</v>
      </c>
      <c r="AE515" s="8">
        <f t="shared" si="21"/>
        <v>75367.650000000009</v>
      </c>
      <c r="AF515" s="8"/>
      <c r="AG515" s="55">
        <v>-11519.41</v>
      </c>
      <c r="AH515" s="55"/>
      <c r="AI515" s="55">
        <v>113522.75</v>
      </c>
      <c r="AJ515" s="55"/>
      <c r="AK515" s="55">
        <v>102003.34</v>
      </c>
      <c r="AL515" s="8">
        <f>+'Gov Rev'!AI515-'Gov Exp'!AE515+'Gov Exp'!AI515-'Gov Exp'!AK515</f>
        <v>0</v>
      </c>
      <c r="AM515" s="6" t="str">
        <f>'Gov Rev'!A515</f>
        <v>Ridgeway</v>
      </c>
      <c r="AN515" s="6" t="str">
        <f t="shared" si="22"/>
        <v>Ridgeway</v>
      </c>
      <c r="AO515" s="6" t="b">
        <f t="shared" si="23"/>
        <v>1</v>
      </c>
    </row>
    <row r="516" spans="1:41" x14ac:dyDescent="0.2">
      <c r="A516" s="6" t="s">
        <v>76</v>
      </c>
      <c r="C516" s="6" t="s">
        <v>338</v>
      </c>
      <c r="E516" s="8">
        <v>210962.86</v>
      </c>
      <c r="G516" s="8">
        <v>0</v>
      </c>
      <c r="I516" s="8">
        <v>1465.56</v>
      </c>
      <c r="K516" s="8">
        <v>464.36</v>
      </c>
      <c r="M516" s="8">
        <v>0</v>
      </c>
      <c r="O516" s="8">
        <v>52745.1</v>
      </c>
      <c r="Q516" s="8">
        <v>118818.62</v>
      </c>
      <c r="S516" s="8">
        <v>32274.99</v>
      </c>
      <c r="U516" s="8">
        <v>10229.86</v>
      </c>
      <c r="W516" s="8">
        <v>747.27</v>
      </c>
      <c r="Y516" s="8">
        <v>0</v>
      </c>
      <c r="AA516" s="8">
        <v>0</v>
      </c>
      <c r="AC516" s="8">
        <v>0</v>
      </c>
      <c r="AE516" s="8">
        <f t="shared" si="21"/>
        <v>427708.61999999994</v>
      </c>
      <c r="AF516" s="8"/>
      <c r="AG516" s="55">
        <v>-26558.53</v>
      </c>
      <c r="AH516" s="55"/>
      <c r="AI516" s="55">
        <v>85015.97</v>
      </c>
      <c r="AJ516" s="55"/>
      <c r="AK516" s="55">
        <v>58457.440000000002</v>
      </c>
      <c r="AL516" s="8">
        <f>+'Gov Rev'!AI516-'Gov Exp'!AE516+'Gov Exp'!AI516-'Gov Exp'!AK516</f>
        <v>8.7311491370201111E-11</v>
      </c>
      <c r="AM516" s="6" t="str">
        <f>'Gov Rev'!A516</f>
        <v>Rio Grande</v>
      </c>
      <c r="AN516" s="6" t="str">
        <f t="shared" si="22"/>
        <v>Rio Grande</v>
      </c>
      <c r="AO516" s="6" t="b">
        <f t="shared" si="23"/>
        <v>1</v>
      </c>
    </row>
    <row r="517" spans="1:41" x14ac:dyDescent="0.2">
      <c r="A517" s="6" t="s">
        <v>266</v>
      </c>
      <c r="C517" s="6" t="s">
        <v>265</v>
      </c>
      <c r="E517" s="8">
        <v>370377.58</v>
      </c>
      <c r="G517" s="8">
        <v>19513.53</v>
      </c>
      <c r="I517" s="8">
        <v>0</v>
      </c>
      <c r="K517" s="8">
        <v>0</v>
      </c>
      <c r="M517" s="8">
        <v>0</v>
      </c>
      <c r="O517" s="8">
        <v>161500.71</v>
      </c>
      <c r="Q517" s="8">
        <v>89668.97</v>
      </c>
      <c r="S517" s="8">
        <v>24408.22</v>
      </c>
      <c r="U517" s="8">
        <v>0</v>
      </c>
      <c r="W517" s="8">
        <v>0</v>
      </c>
      <c r="Y517" s="8">
        <v>0</v>
      </c>
      <c r="AA517" s="8">
        <v>0</v>
      </c>
      <c r="AC517" s="8">
        <v>0</v>
      </c>
      <c r="AE517" s="8">
        <f t="shared" si="21"/>
        <v>665469.00999999989</v>
      </c>
      <c r="AF517" s="8"/>
      <c r="AG517" s="55">
        <v>149186.20000000001</v>
      </c>
      <c r="AH517" s="55"/>
      <c r="AI517" s="55">
        <v>537662.32999999996</v>
      </c>
      <c r="AJ517" s="55"/>
      <c r="AK517" s="55">
        <v>686848.53</v>
      </c>
      <c r="AL517" s="8">
        <f>+'Gov Rev'!AI517-'Gov Exp'!AE517+'Gov Exp'!AI517-'Gov Exp'!AK517</f>
        <v>0</v>
      </c>
      <c r="AM517" s="6" t="str">
        <f>'Gov Rev'!A517</f>
        <v>Ripley</v>
      </c>
      <c r="AN517" s="6" t="str">
        <f t="shared" si="22"/>
        <v>Ripley</v>
      </c>
      <c r="AO517" s="6" t="b">
        <f t="shared" si="23"/>
        <v>1</v>
      </c>
    </row>
    <row r="518" spans="1:41" x14ac:dyDescent="0.2">
      <c r="A518" s="6" t="s">
        <v>242</v>
      </c>
      <c r="C518" s="6" t="s">
        <v>558</v>
      </c>
      <c r="E518" s="8">
        <v>85039.78</v>
      </c>
      <c r="G518" s="8">
        <v>103</v>
      </c>
      <c r="I518" s="8">
        <v>6669.88</v>
      </c>
      <c r="K518" s="8">
        <v>385.42</v>
      </c>
      <c r="M518" s="8">
        <v>2353.52</v>
      </c>
      <c r="O518" s="8">
        <v>33745.29</v>
      </c>
      <c r="Q518" s="8">
        <v>41482.11</v>
      </c>
      <c r="S518" s="8">
        <v>18226.5</v>
      </c>
      <c r="U518" s="8">
        <v>24578.7</v>
      </c>
      <c r="W518" s="8">
        <v>2853.43</v>
      </c>
      <c r="Y518" s="8">
        <v>19510</v>
      </c>
      <c r="AA518" s="8">
        <v>10000</v>
      </c>
      <c r="AC518" s="8">
        <v>14159.12</v>
      </c>
      <c r="AE518" s="8">
        <f t="shared" si="21"/>
        <v>259106.75</v>
      </c>
      <c r="AF518" s="8"/>
      <c r="AG518" s="55">
        <v>63368.27</v>
      </c>
      <c r="AH518" s="55"/>
      <c r="AI518" s="55">
        <v>263814.7</v>
      </c>
      <c r="AJ518" s="55"/>
      <c r="AK518" s="55">
        <v>327182.96999999997</v>
      </c>
      <c r="AL518" s="8">
        <f>+'Gov Rev'!AI518-'Gov Exp'!AE518+'Gov Exp'!AI518-'Gov Exp'!AK518</f>
        <v>0</v>
      </c>
      <c r="AM518" s="6" t="str">
        <f>'Gov Rev'!A518</f>
        <v>Risingsun</v>
      </c>
      <c r="AN518" s="6" t="str">
        <f t="shared" si="22"/>
        <v>Risingsun</v>
      </c>
      <c r="AO518" s="6" t="b">
        <f t="shared" si="23"/>
        <v>1</v>
      </c>
    </row>
    <row r="519" spans="1:41" x14ac:dyDescent="0.2">
      <c r="A519" s="6" t="s">
        <v>330</v>
      </c>
      <c r="C519" s="6" t="s">
        <v>329</v>
      </c>
      <c r="E519" s="8">
        <v>66921</v>
      </c>
      <c r="G519" s="8">
        <v>5443</v>
      </c>
      <c r="I519" s="8">
        <v>5258</v>
      </c>
      <c r="K519" s="8">
        <v>4165</v>
      </c>
      <c r="M519" s="8">
        <v>78450</v>
      </c>
      <c r="O519" s="8">
        <v>14417</v>
      </c>
      <c r="Q519" s="8">
        <v>51819</v>
      </c>
      <c r="S519" s="8">
        <v>542590</v>
      </c>
      <c r="U519" s="8">
        <v>0</v>
      </c>
      <c r="W519" s="8">
        <v>0</v>
      </c>
      <c r="Y519" s="8">
        <v>0</v>
      </c>
      <c r="AA519" s="8">
        <v>158000</v>
      </c>
      <c r="AC519" s="8">
        <v>0</v>
      </c>
      <c r="AE519" s="8">
        <f t="shared" si="21"/>
        <v>927063</v>
      </c>
      <c r="AF519" s="8"/>
      <c r="AG519" s="55"/>
      <c r="AH519" s="55"/>
      <c r="AI519" s="55"/>
      <c r="AJ519" s="55"/>
      <c r="AK519" s="55"/>
      <c r="AL519" s="8">
        <f>+'Gov Rev'!AI519-'Gov Exp'!AE519+'Gov Exp'!AI519-'Gov Exp'!AK519</f>
        <v>-3488</v>
      </c>
      <c r="AM519" s="6" t="str">
        <f>'Gov Rev'!A519</f>
        <v>Riverlea</v>
      </c>
      <c r="AN519" s="6" t="str">
        <f t="shared" si="22"/>
        <v>Riverlea</v>
      </c>
      <c r="AO519" s="6" t="b">
        <f t="shared" si="23"/>
        <v>1</v>
      </c>
    </row>
    <row r="520" spans="1:41" ht="12.75" x14ac:dyDescent="0.2">
      <c r="A520" s="6" t="s">
        <v>623</v>
      </c>
      <c r="C520" s="6" t="s">
        <v>624</v>
      </c>
      <c r="D520" s="11"/>
      <c r="E520" s="8">
        <v>181259</v>
      </c>
      <c r="G520" s="8">
        <v>30679</v>
      </c>
      <c r="I520" s="8">
        <v>0</v>
      </c>
      <c r="K520" s="8">
        <v>1933</v>
      </c>
      <c r="M520" s="8">
        <v>0</v>
      </c>
      <c r="O520" s="8">
        <v>41848</v>
      </c>
      <c r="Q520" s="8">
        <v>63472</v>
      </c>
      <c r="S520" s="8">
        <v>22681</v>
      </c>
      <c r="U520" s="8">
        <v>117595</v>
      </c>
      <c r="W520" s="8">
        <v>47833</v>
      </c>
      <c r="Y520" s="8">
        <v>139336</v>
      </c>
      <c r="AA520" s="8">
        <v>0</v>
      </c>
      <c r="AC520" s="8">
        <v>4306</v>
      </c>
      <c r="AE520" s="8">
        <f t="shared" si="21"/>
        <v>650942</v>
      </c>
      <c r="AF520" s="8"/>
      <c r="AG520" s="55"/>
      <c r="AH520" s="55"/>
      <c r="AI520" s="55"/>
      <c r="AJ520" s="55"/>
      <c r="AK520" s="55"/>
      <c r="AL520" s="8">
        <f>+'Gov Rev'!AI520-'Gov Exp'!AE520+'Gov Exp'!AI520-'Gov Exp'!AK520</f>
        <v>4967</v>
      </c>
      <c r="AM520" s="6" t="str">
        <f>'Gov Rev'!A520</f>
        <v>Roaming Shores</v>
      </c>
      <c r="AN520" s="6" t="str">
        <f t="shared" si="22"/>
        <v>Roaming Shores</v>
      </c>
      <c r="AO520" s="6" t="b">
        <f t="shared" si="23"/>
        <v>1</v>
      </c>
    </row>
    <row r="521" spans="1:41" x14ac:dyDescent="0.2">
      <c r="A521" s="6" t="s">
        <v>129</v>
      </c>
      <c r="C521" s="6" t="s">
        <v>419</v>
      </c>
      <c r="E521" s="8">
        <v>0</v>
      </c>
      <c r="G521" s="8">
        <v>0</v>
      </c>
      <c r="I521" s="8">
        <v>3088.46</v>
      </c>
      <c r="K521" s="8">
        <v>1127.27</v>
      </c>
      <c r="M521" s="8">
        <v>2839.5</v>
      </c>
      <c r="O521" s="8">
        <v>19627.5</v>
      </c>
      <c r="Q521" s="8">
        <v>48528.42</v>
      </c>
      <c r="S521" s="8">
        <v>0</v>
      </c>
      <c r="U521" s="8">
        <v>0</v>
      </c>
      <c r="W521" s="8">
        <v>0</v>
      </c>
      <c r="Y521" s="8">
        <v>0</v>
      </c>
      <c r="AA521" s="8">
        <v>0</v>
      </c>
      <c r="AC521" s="8">
        <v>0</v>
      </c>
      <c r="AE521" s="8">
        <f t="shared" si="21"/>
        <v>75211.149999999994</v>
      </c>
      <c r="AF521" s="8"/>
      <c r="AG521" s="55">
        <v>-37141.31</v>
      </c>
      <c r="AH521" s="55"/>
      <c r="AI521" s="55">
        <v>307917.51</v>
      </c>
      <c r="AJ521" s="55"/>
      <c r="AK521" s="55">
        <v>270776.2</v>
      </c>
      <c r="AL521" s="8">
        <f>+'Gov Rev'!AI521-'Gov Exp'!AE521+'Gov Exp'!AI521-'Gov Exp'!AK521</f>
        <v>0</v>
      </c>
      <c r="AM521" s="6" t="str">
        <f>'Gov Rev'!A521</f>
        <v>Rochester</v>
      </c>
      <c r="AN521" s="6" t="str">
        <f t="shared" si="22"/>
        <v>Rochester</v>
      </c>
      <c r="AO521" s="6" t="b">
        <f t="shared" si="23"/>
        <v>1</v>
      </c>
    </row>
    <row r="522" spans="1:41" x14ac:dyDescent="0.2">
      <c r="A522" s="6" t="s">
        <v>625</v>
      </c>
      <c r="C522" s="6" t="s">
        <v>624</v>
      </c>
      <c r="E522" s="8">
        <v>30203.16</v>
      </c>
      <c r="G522" s="8">
        <v>3200</v>
      </c>
      <c r="I522" s="8">
        <v>0</v>
      </c>
      <c r="K522" s="8">
        <v>0</v>
      </c>
      <c r="M522" s="8">
        <v>3035.99</v>
      </c>
      <c r="O522" s="8">
        <v>45703.95</v>
      </c>
      <c r="Q522" s="8">
        <v>90184.14</v>
      </c>
      <c r="S522" s="8">
        <v>17400</v>
      </c>
      <c r="U522" s="8">
        <v>10225.280000000001</v>
      </c>
      <c r="W522" s="8">
        <v>4169.43</v>
      </c>
      <c r="Y522" s="8">
        <v>0</v>
      </c>
      <c r="AA522" s="8">
        <v>0</v>
      </c>
      <c r="AC522" s="8">
        <v>0</v>
      </c>
      <c r="AE522" s="8">
        <f t="shared" si="21"/>
        <v>204121.94999999998</v>
      </c>
      <c r="AF522" s="8"/>
      <c r="AG522" s="55">
        <v>2881.86</v>
      </c>
      <c r="AH522" s="55"/>
      <c r="AI522" s="55">
        <v>156251.45000000001</v>
      </c>
      <c r="AJ522" s="55"/>
      <c r="AK522" s="55">
        <v>159133.31</v>
      </c>
      <c r="AL522" s="8">
        <f>+'Gov Rev'!AI522-'Gov Exp'!AE522+'Gov Exp'!AI522-'Gov Exp'!AK522</f>
        <v>0</v>
      </c>
      <c r="AM522" s="6" t="str">
        <f>'Gov Rev'!A522</f>
        <v>Rock Creek</v>
      </c>
      <c r="AN522" s="6" t="str">
        <f t="shared" si="22"/>
        <v>Rock Creek</v>
      </c>
      <c r="AO522" s="6" t="b">
        <f t="shared" si="23"/>
        <v>1</v>
      </c>
    </row>
    <row r="523" spans="1:41" x14ac:dyDescent="0.2">
      <c r="A523" s="6" t="s">
        <v>435</v>
      </c>
      <c r="C523" s="6" t="s">
        <v>433</v>
      </c>
      <c r="E523" s="8">
        <v>183517.68</v>
      </c>
      <c r="G523" s="8">
        <v>5073.74</v>
      </c>
      <c r="I523" s="8">
        <v>5369.59</v>
      </c>
      <c r="K523" s="8">
        <v>3006.67</v>
      </c>
      <c r="M523" s="8">
        <v>5460.59</v>
      </c>
      <c r="O523" s="8">
        <v>100816.55</v>
      </c>
      <c r="Q523" s="8">
        <v>115180.24</v>
      </c>
      <c r="S523" s="8">
        <v>52129.55</v>
      </c>
      <c r="U523" s="8">
        <v>16291.23</v>
      </c>
      <c r="W523" s="8">
        <v>963.88</v>
      </c>
      <c r="Y523" s="8">
        <v>7800</v>
      </c>
      <c r="AA523" s="8">
        <v>0</v>
      </c>
      <c r="AC523" s="8">
        <v>0</v>
      </c>
      <c r="AE523" s="8">
        <f t="shared" si="21"/>
        <v>495609.72</v>
      </c>
      <c r="AF523" s="8"/>
      <c r="AG523" s="55">
        <v>6183.24</v>
      </c>
      <c r="AH523" s="55"/>
      <c r="AI523" s="55">
        <v>273252.8</v>
      </c>
      <c r="AJ523" s="55"/>
      <c r="AK523" s="55">
        <v>279436.03999999998</v>
      </c>
      <c r="AL523" s="8">
        <f>+'Gov Rev'!AI523-'Gov Exp'!AE523+'Gov Exp'!AI523-'Gov Exp'!AK523</f>
        <v>0</v>
      </c>
      <c r="AM523" s="6" t="str">
        <f>'Gov Rev'!A523</f>
        <v>Rockford</v>
      </c>
      <c r="AN523" s="6" t="str">
        <f t="shared" si="22"/>
        <v>Rockford</v>
      </c>
      <c r="AO523" s="6" t="b">
        <f t="shared" si="23"/>
        <v>1</v>
      </c>
    </row>
    <row r="524" spans="1:41" x14ac:dyDescent="0.2">
      <c r="A524" s="6" t="s">
        <v>701</v>
      </c>
      <c r="C524" s="6" t="s">
        <v>192</v>
      </c>
      <c r="E524" s="8">
        <v>26732.13</v>
      </c>
      <c r="G524" s="8">
        <v>776.93</v>
      </c>
      <c r="I524" s="8">
        <v>304.82</v>
      </c>
      <c r="K524" s="8">
        <v>300</v>
      </c>
      <c r="M524" s="8">
        <v>1380</v>
      </c>
      <c r="O524" s="8">
        <v>53260.28</v>
      </c>
      <c r="Q524" s="8">
        <v>29209.74</v>
      </c>
      <c r="S524" s="8">
        <v>0</v>
      </c>
      <c r="U524" s="8">
        <v>10359.629999999999</v>
      </c>
      <c r="W524" s="8">
        <v>7931.78</v>
      </c>
      <c r="Y524" s="8">
        <v>4000</v>
      </c>
      <c r="AA524" s="8">
        <v>4000</v>
      </c>
      <c r="AC524" s="8">
        <v>0</v>
      </c>
      <c r="AE524" s="8">
        <f t="shared" si="21"/>
        <v>138255.31</v>
      </c>
      <c r="AF524" s="8"/>
      <c r="AG524" s="55">
        <v>7357.36</v>
      </c>
      <c r="AH524" s="55"/>
      <c r="AI524" s="55">
        <v>103400.4</v>
      </c>
      <c r="AJ524" s="55"/>
      <c r="AK524" s="55">
        <v>110757.75999999999</v>
      </c>
      <c r="AL524" s="8">
        <f>+'Gov Rev'!AI524-'Gov Exp'!AE524+'Gov Exp'!AI524-'Gov Exp'!AK524</f>
        <v>0</v>
      </c>
      <c r="AM524" s="6" t="str">
        <f>'Gov Rev'!A524</f>
        <v>Rocky Ridge</v>
      </c>
      <c r="AN524" s="6" t="str">
        <f t="shared" si="22"/>
        <v>Rocky Ridge</v>
      </c>
      <c r="AO524" s="6" t="b">
        <f t="shared" si="23"/>
        <v>1</v>
      </c>
    </row>
    <row r="525" spans="1:41" x14ac:dyDescent="0.2">
      <c r="A525" s="6" t="s">
        <v>43</v>
      </c>
      <c r="C525" s="6" t="s">
        <v>283</v>
      </c>
      <c r="E525" s="8">
        <v>11683.24</v>
      </c>
      <c r="G525" s="8">
        <v>0</v>
      </c>
      <c r="I525" s="8">
        <v>15.15</v>
      </c>
      <c r="K525" s="8">
        <v>0</v>
      </c>
      <c r="M525" s="8">
        <v>0</v>
      </c>
      <c r="O525" s="8">
        <v>11482.47</v>
      </c>
      <c r="Q525" s="8">
        <v>13124.54</v>
      </c>
      <c r="S525" s="8">
        <v>9763.73</v>
      </c>
      <c r="U525" s="8">
        <v>0</v>
      </c>
      <c r="W525" s="8">
        <v>0</v>
      </c>
      <c r="Y525" s="8">
        <v>0</v>
      </c>
      <c r="AA525" s="8">
        <v>0</v>
      </c>
      <c r="AC525" s="8">
        <v>0</v>
      </c>
      <c r="AE525" s="8">
        <f t="shared" si="21"/>
        <v>46069.130000000005</v>
      </c>
      <c r="AF525" s="8"/>
      <c r="AG525" s="55">
        <v>3915.06</v>
      </c>
      <c r="AH525" s="55"/>
      <c r="AI525" s="55">
        <v>11587.1</v>
      </c>
      <c r="AJ525" s="55"/>
      <c r="AK525" s="55">
        <v>15502.16</v>
      </c>
      <c r="AL525" s="8">
        <f>+'Gov Rev'!AI525-'Gov Exp'!AE525+'Gov Exp'!AI525-'Gov Exp'!AK525</f>
        <v>0</v>
      </c>
      <c r="AM525" s="6" t="str">
        <f>'Gov Rev'!A525</f>
        <v>Rogers</v>
      </c>
      <c r="AN525" s="6" t="str">
        <f t="shared" si="22"/>
        <v>Rogers</v>
      </c>
      <c r="AO525" s="6" t="b">
        <f t="shared" si="23"/>
        <v>1</v>
      </c>
    </row>
    <row r="526" spans="1:41" x14ac:dyDescent="0.2">
      <c r="AE526" s="8"/>
      <c r="AF526" s="8"/>
      <c r="AG526" s="55"/>
      <c r="AH526" s="55"/>
      <c r="AI526" s="55"/>
      <c r="AJ526" s="55"/>
      <c r="AK526" s="55"/>
      <c r="AL526" s="8"/>
    </row>
    <row r="527" spans="1:41" ht="12.75" x14ac:dyDescent="0.2">
      <c r="AE527" s="88" t="s">
        <v>733</v>
      </c>
      <c r="AF527" s="8"/>
      <c r="AG527" s="55"/>
      <c r="AH527" s="55"/>
      <c r="AI527" s="55"/>
      <c r="AJ527" s="55"/>
      <c r="AK527" s="55"/>
      <c r="AL527" s="8"/>
    </row>
    <row r="528" spans="1:41" x14ac:dyDescent="0.2">
      <c r="AE528" s="8"/>
      <c r="AF528" s="8"/>
      <c r="AG528" s="55"/>
      <c r="AH528" s="55"/>
      <c r="AI528" s="55"/>
      <c r="AJ528" s="55"/>
      <c r="AK528" s="55"/>
      <c r="AL528" s="8"/>
    </row>
    <row r="529" spans="1:41" ht="12" customHeight="1" x14ac:dyDescent="0.2">
      <c r="A529" s="6" t="s">
        <v>702</v>
      </c>
      <c r="C529" s="6" t="s">
        <v>616</v>
      </c>
      <c r="E529" s="54">
        <v>3302</v>
      </c>
      <c r="G529" s="18">
        <v>400</v>
      </c>
      <c r="H529" s="18"/>
      <c r="I529" s="18">
        <v>0</v>
      </c>
      <c r="J529" s="18"/>
      <c r="K529" s="18">
        <v>1260</v>
      </c>
      <c r="L529" s="18"/>
      <c r="M529" s="18">
        <v>0</v>
      </c>
      <c r="N529" s="18"/>
      <c r="O529" s="18">
        <v>0</v>
      </c>
      <c r="P529" s="18"/>
      <c r="Q529" s="18">
        <f>7014+2251</f>
        <v>9265</v>
      </c>
      <c r="R529" s="18"/>
      <c r="S529" s="18">
        <v>0</v>
      </c>
      <c r="T529" s="18"/>
      <c r="U529" s="18">
        <v>0</v>
      </c>
      <c r="V529" s="18"/>
      <c r="W529" s="18">
        <v>0</v>
      </c>
      <c r="X529" s="18"/>
      <c r="Y529" s="18">
        <v>0</v>
      </c>
      <c r="Z529" s="18"/>
      <c r="AA529" s="18">
        <v>0</v>
      </c>
      <c r="AB529" s="18"/>
      <c r="AC529" s="18">
        <v>0</v>
      </c>
      <c r="AD529" s="18"/>
      <c r="AE529" s="18">
        <f t="shared" si="21"/>
        <v>14227</v>
      </c>
      <c r="AF529" s="18"/>
      <c r="AG529" s="64"/>
      <c r="AH529" s="64"/>
      <c r="AI529" s="64"/>
      <c r="AJ529" s="64"/>
      <c r="AK529" s="64"/>
      <c r="AL529" s="8">
        <f>+'Gov Rev'!AI526-'Gov Exp'!AE529+'Gov Exp'!AI529-'Gov Exp'!AK529</f>
        <v>-4359</v>
      </c>
      <c r="AM529" s="6" t="str">
        <f>'Gov Rev'!A526</f>
        <v>Rome</v>
      </c>
      <c r="AN529" s="6" t="str">
        <f t="shared" si="22"/>
        <v>Rome</v>
      </c>
      <c r="AO529" s="6" t="b">
        <f t="shared" si="23"/>
        <v>1</v>
      </c>
    </row>
    <row r="530" spans="1:41" x14ac:dyDescent="0.2">
      <c r="A530" s="6" t="s">
        <v>453</v>
      </c>
      <c r="C530" s="6" t="s">
        <v>450</v>
      </c>
      <c r="E530" s="8">
        <v>235604.83</v>
      </c>
      <c r="G530" s="8">
        <v>45550.28</v>
      </c>
      <c r="I530" s="8">
        <v>55785.72</v>
      </c>
      <c r="K530" s="8">
        <v>0</v>
      </c>
      <c r="M530" s="8">
        <v>0</v>
      </c>
      <c r="O530" s="8">
        <v>79385.53</v>
      </c>
      <c r="Q530" s="8">
        <v>107683.67</v>
      </c>
      <c r="S530" s="8">
        <v>100414.96</v>
      </c>
      <c r="U530" s="8">
        <v>0</v>
      </c>
      <c r="W530" s="8">
        <v>1097.44</v>
      </c>
      <c r="Y530" s="8">
        <v>53999</v>
      </c>
      <c r="AA530" s="8">
        <v>12750</v>
      </c>
      <c r="AC530" s="8">
        <v>0</v>
      </c>
      <c r="AE530" s="8">
        <f t="shared" si="21"/>
        <v>692271.42999999993</v>
      </c>
      <c r="AF530" s="8"/>
      <c r="AG530" s="55">
        <v>-22947.56</v>
      </c>
      <c r="AH530" s="55"/>
      <c r="AI530" s="55">
        <v>660838.80000000005</v>
      </c>
      <c r="AJ530" s="55"/>
      <c r="AK530" s="55">
        <v>637891.24</v>
      </c>
      <c r="AL530" s="8">
        <f>+'Gov Rev'!AI527-'Gov Exp'!AE530+'Gov Exp'!AI530-'Gov Exp'!AK530</f>
        <v>0</v>
      </c>
      <c r="AM530" s="6" t="str">
        <f>'Gov Rev'!A527</f>
        <v>Roseville</v>
      </c>
      <c r="AN530" s="6" t="str">
        <f t="shared" si="22"/>
        <v>Roseville</v>
      </c>
      <c r="AO530" s="6" t="b">
        <f t="shared" si="23"/>
        <v>1</v>
      </c>
    </row>
    <row r="531" spans="1:41" x14ac:dyDescent="0.2">
      <c r="A531" s="6" t="s">
        <v>313</v>
      </c>
      <c r="C531" s="6" t="s">
        <v>306</v>
      </c>
      <c r="E531" s="8">
        <v>5049</v>
      </c>
      <c r="G531" s="8">
        <v>561</v>
      </c>
      <c r="I531" s="8">
        <v>2330</v>
      </c>
      <c r="K531" s="8">
        <v>0</v>
      </c>
      <c r="M531" s="8">
        <v>11117</v>
      </c>
      <c r="O531" s="8">
        <v>0</v>
      </c>
      <c r="Q531" s="8">
        <v>16945</v>
      </c>
      <c r="S531" s="8">
        <v>1100</v>
      </c>
      <c r="U531" s="8">
        <v>26213</v>
      </c>
      <c r="W531" s="8">
        <v>2475</v>
      </c>
      <c r="Y531" s="8">
        <v>10334</v>
      </c>
      <c r="AA531" s="8">
        <v>0</v>
      </c>
      <c r="AC531" s="8">
        <v>0</v>
      </c>
      <c r="AE531" s="8">
        <f t="shared" si="21"/>
        <v>76124</v>
      </c>
      <c r="AF531" s="8"/>
      <c r="AG531" s="55"/>
      <c r="AH531" s="55"/>
      <c r="AI531" s="55"/>
      <c r="AJ531" s="55"/>
      <c r="AK531" s="55"/>
      <c r="AL531" s="8">
        <f>+'Gov Rev'!AI528-'Gov Exp'!AE531+'Gov Exp'!AI531-'Gov Exp'!AK531</f>
        <v>-9361</v>
      </c>
      <c r="AM531" s="6" t="str">
        <f>'Gov Rev'!A528</f>
        <v>Rossburg</v>
      </c>
      <c r="AN531" s="6" t="str">
        <f t="shared" si="22"/>
        <v>Rossburg</v>
      </c>
      <c r="AO531" s="6" t="b">
        <f t="shared" si="23"/>
        <v>1</v>
      </c>
    </row>
    <row r="532" spans="1:41" x14ac:dyDescent="0.2">
      <c r="A532" s="6" t="s">
        <v>776</v>
      </c>
      <c r="C532" s="6" t="s">
        <v>521</v>
      </c>
      <c r="E532" s="8">
        <v>12956.37</v>
      </c>
      <c r="G532" s="8">
        <v>672.89</v>
      </c>
      <c r="I532" s="8">
        <v>850.65</v>
      </c>
      <c r="K532" s="8">
        <v>35.04</v>
      </c>
      <c r="M532" s="8">
        <v>15071.48</v>
      </c>
      <c r="O532" s="8">
        <v>12146.29</v>
      </c>
      <c r="Q532" s="8">
        <v>22765.57</v>
      </c>
      <c r="S532" s="8">
        <v>0</v>
      </c>
      <c r="U532" s="8">
        <v>0</v>
      </c>
      <c r="W532" s="8">
        <v>0</v>
      </c>
      <c r="Y532" s="8">
        <v>0</v>
      </c>
      <c r="AA532" s="8">
        <v>0</v>
      </c>
      <c r="AC532" s="8">
        <v>11986</v>
      </c>
      <c r="AE532" s="8">
        <f t="shared" si="21"/>
        <v>76484.290000000008</v>
      </c>
      <c r="AF532" s="8"/>
      <c r="AG532" s="55">
        <v>-2451.66</v>
      </c>
      <c r="AH532" s="55"/>
      <c r="AI532" s="55">
        <v>37927.279999999999</v>
      </c>
      <c r="AJ532" s="55"/>
      <c r="AK532" s="55">
        <v>35475.620000000003</v>
      </c>
      <c r="AL532" s="8">
        <f>+'Gov Rev'!AI529-'Gov Exp'!AE532+'Gov Exp'!AI532-'Gov Exp'!AK532</f>
        <v>0</v>
      </c>
      <c r="AM532" s="6" t="str">
        <f>'Gov Rev'!A529</f>
        <v>Roswell</v>
      </c>
      <c r="AN532" s="6" t="str">
        <f t="shared" si="22"/>
        <v>Roswell</v>
      </c>
      <c r="AO532" s="6" t="b">
        <f t="shared" si="23"/>
        <v>1</v>
      </c>
    </row>
    <row r="533" spans="1:41" x14ac:dyDescent="0.2">
      <c r="A533" s="6" t="s">
        <v>725</v>
      </c>
      <c r="C533" s="6" t="s">
        <v>414</v>
      </c>
      <c r="E533" s="8">
        <v>8456.3799999999992</v>
      </c>
      <c r="G533" s="8">
        <v>0</v>
      </c>
      <c r="I533" s="8">
        <v>9104.7900000000009</v>
      </c>
      <c r="K533" s="8">
        <v>263.91000000000003</v>
      </c>
      <c r="M533" s="8">
        <v>0</v>
      </c>
      <c r="O533" s="8">
        <v>91325.27</v>
      </c>
      <c r="Q533" s="8">
        <v>60553.31</v>
      </c>
      <c r="S533" s="8">
        <v>0</v>
      </c>
      <c r="U533" s="8">
        <v>0</v>
      </c>
      <c r="W533" s="8">
        <v>0</v>
      </c>
      <c r="Y533" s="8">
        <v>0</v>
      </c>
      <c r="AA533" s="8">
        <v>0</v>
      </c>
      <c r="AC533" s="8">
        <v>0</v>
      </c>
      <c r="AE533" s="8">
        <f t="shared" si="21"/>
        <v>169703.66</v>
      </c>
      <c r="AF533" s="8"/>
      <c r="AG533" s="55">
        <v>-30694.78</v>
      </c>
      <c r="AH533" s="55"/>
      <c r="AI533" s="55">
        <v>109077.03</v>
      </c>
      <c r="AJ533" s="55"/>
      <c r="AK533" s="55">
        <v>78382.25</v>
      </c>
      <c r="AL533" s="8">
        <f>+'Gov Rev'!AI530-'Gov Exp'!AE533+'Gov Exp'!AI533-'Gov Exp'!AK533</f>
        <v>0</v>
      </c>
      <c r="AM533" s="6" t="str">
        <f>'Gov Rev'!A530</f>
        <v>Rushsylvania</v>
      </c>
      <c r="AN533" s="6" t="str">
        <f t="shared" si="22"/>
        <v>Rushsylvania</v>
      </c>
      <c r="AO533" s="6" t="b">
        <f t="shared" si="23"/>
        <v>1</v>
      </c>
    </row>
    <row r="534" spans="1:41" x14ac:dyDescent="0.2">
      <c r="A534" s="6" t="s">
        <v>60</v>
      </c>
      <c r="C534" s="6" t="s">
        <v>327</v>
      </c>
      <c r="E534" s="8">
        <v>2554.39</v>
      </c>
      <c r="G534" s="8">
        <v>960.08</v>
      </c>
      <c r="I534" s="8">
        <v>0</v>
      </c>
      <c r="K534" s="8">
        <v>770.41</v>
      </c>
      <c r="M534" s="8">
        <v>212.5</v>
      </c>
      <c r="O534" s="8">
        <v>24836.720000000001</v>
      </c>
      <c r="Q534" s="8">
        <v>19530.79</v>
      </c>
      <c r="S534" s="8">
        <v>0</v>
      </c>
      <c r="U534" s="8">
        <v>621.05999999999995</v>
      </c>
      <c r="W534" s="8">
        <v>0</v>
      </c>
      <c r="Y534" s="8">
        <v>1214.21</v>
      </c>
      <c r="AA534" s="8">
        <v>0</v>
      </c>
      <c r="AC534" s="8">
        <v>0</v>
      </c>
      <c r="AE534" s="8">
        <f t="shared" si="21"/>
        <v>50700.159999999996</v>
      </c>
      <c r="AF534" s="8"/>
      <c r="AG534" s="55">
        <v>-7937.25</v>
      </c>
      <c r="AH534" s="55"/>
      <c r="AI534" s="55">
        <v>87495.92</v>
      </c>
      <c r="AJ534" s="55"/>
      <c r="AK534" s="55">
        <v>79558.67</v>
      </c>
      <c r="AL534" s="8">
        <f>+'Gov Rev'!AI531-'Gov Exp'!AE534+'Gov Exp'!AI534-'Gov Exp'!AK534</f>
        <v>0</v>
      </c>
      <c r="AM534" s="6" t="str">
        <f>'Gov Rev'!A531</f>
        <v>Rushville</v>
      </c>
      <c r="AN534" s="6" t="str">
        <f t="shared" si="22"/>
        <v>Rushville</v>
      </c>
      <c r="AO534" s="6" t="b">
        <f t="shared" si="23"/>
        <v>1</v>
      </c>
    </row>
    <row r="535" spans="1:41" x14ac:dyDescent="0.2">
      <c r="A535" s="6" t="s">
        <v>415</v>
      </c>
      <c r="C535" s="6" t="s">
        <v>414</v>
      </c>
      <c r="E535" s="8">
        <v>269346.40000000002</v>
      </c>
      <c r="G535" s="8">
        <v>0</v>
      </c>
      <c r="I535" s="8">
        <v>2579.8000000000002</v>
      </c>
      <c r="K535" s="8">
        <v>48537.42</v>
      </c>
      <c r="M535" s="8">
        <v>0</v>
      </c>
      <c r="O535" s="8">
        <v>53979.41</v>
      </c>
      <c r="Q535" s="8">
        <v>220778.73</v>
      </c>
      <c r="S535" s="8">
        <v>285000</v>
      </c>
      <c r="U535" s="8">
        <v>18368.759999999998</v>
      </c>
      <c r="W535" s="8">
        <v>27437.49</v>
      </c>
      <c r="Y535" s="8">
        <v>172451.96</v>
      </c>
      <c r="AA535" s="8">
        <v>0</v>
      </c>
      <c r="AC535" s="8">
        <v>0</v>
      </c>
      <c r="AE535" s="8">
        <f t="shared" si="21"/>
        <v>1098479.97</v>
      </c>
      <c r="AF535" s="8"/>
      <c r="AG535" s="55">
        <v>96781.5</v>
      </c>
      <c r="AH535" s="55"/>
      <c r="AI535" s="55">
        <v>1423497.74</v>
      </c>
      <c r="AJ535" s="55"/>
      <c r="AK535" s="55">
        <v>1520279.24</v>
      </c>
      <c r="AL535" s="8">
        <f>+'Gov Rev'!AI532-'Gov Exp'!AE535+'Gov Exp'!AI535-'Gov Exp'!AK535</f>
        <v>0</v>
      </c>
      <c r="AM535" s="6" t="str">
        <f>'Gov Rev'!A532</f>
        <v>Russells Point</v>
      </c>
      <c r="AN535" s="6" t="str">
        <f t="shared" si="22"/>
        <v>Russells Point</v>
      </c>
      <c r="AO535" s="6" t="b">
        <f t="shared" si="23"/>
        <v>1</v>
      </c>
    </row>
    <row r="536" spans="1:41" x14ac:dyDescent="0.2">
      <c r="A536" s="6" t="s">
        <v>808</v>
      </c>
      <c r="C536" s="6" t="s">
        <v>265</v>
      </c>
      <c r="E536" s="8">
        <v>105483.68</v>
      </c>
      <c r="G536" s="8">
        <v>0</v>
      </c>
      <c r="I536" s="8">
        <v>3633.48</v>
      </c>
      <c r="K536" s="8">
        <v>0</v>
      </c>
      <c r="M536" s="8">
        <v>0</v>
      </c>
      <c r="O536" s="8">
        <v>16927.57</v>
      </c>
      <c r="Q536" s="8">
        <v>96728.01</v>
      </c>
      <c r="S536" s="8">
        <v>0</v>
      </c>
      <c r="U536" s="8">
        <v>22994.17</v>
      </c>
      <c r="W536" s="8">
        <v>1267.93</v>
      </c>
      <c r="Y536" s="8">
        <v>0</v>
      </c>
      <c r="AA536" s="8">
        <v>3000</v>
      </c>
      <c r="AC536" s="8">
        <v>0</v>
      </c>
      <c r="AE536" s="8">
        <f t="shared" si="21"/>
        <v>250034.83999999997</v>
      </c>
      <c r="AF536" s="8"/>
      <c r="AG536" s="55">
        <v>10973.25</v>
      </c>
      <c r="AH536" s="55"/>
      <c r="AI536" s="55">
        <v>172541.78</v>
      </c>
      <c r="AJ536" s="55"/>
      <c r="AK536" s="55">
        <v>183515.03</v>
      </c>
      <c r="AL536" s="8">
        <f>+'Gov Rev'!AI533-'Gov Exp'!AE536+'Gov Exp'!AI536-'Gov Exp'!AK536</f>
        <v>0</v>
      </c>
      <c r="AM536" s="6" t="str">
        <f>'Gov Rev'!A533</f>
        <v>Russellville</v>
      </c>
      <c r="AN536" s="6" t="str">
        <f t="shared" si="22"/>
        <v>Russellville</v>
      </c>
      <c r="AO536" s="6" t="b">
        <f t="shared" si="23"/>
        <v>1</v>
      </c>
    </row>
    <row r="537" spans="1:41" x14ac:dyDescent="0.2">
      <c r="A537" s="6" t="s">
        <v>500</v>
      </c>
      <c r="C537" s="6" t="s">
        <v>498</v>
      </c>
      <c r="E537" s="8">
        <v>41961.29</v>
      </c>
      <c r="G537" s="8">
        <v>3461</v>
      </c>
      <c r="I537" s="8">
        <v>57912.54</v>
      </c>
      <c r="K537" s="8">
        <v>342.09</v>
      </c>
      <c r="M537" s="8">
        <v>19246.75</v>
      </c>
      <c r="O537" s="8">
        <v>219276.93</v>
      </c>
      <c r="Q537" s="8">
        <v>156229.18</v>
      </c>
      <c r="S537" s="8">
        <v>3108.98</v>
      </c>
      <c r="U537" s="8">
        <v>0</v>
      </c>
      <c r="W537" s="8">
        <v>0</v>
      </c>
      <c r="Y537" s="8">
        <v>9570.43</v>
      </c>
      <c r="AA537" s="8">
        <v>0</v>
      </c>
      <c r="AC537" s="8">
        <v>0</v>
      </c>
      <c r="AE537" s="8">
        <f t="shared" si="21"/>
        <v>511109.18999999994</v>
      </c>
      <c r="AF537" s="8"/>
      <c r="AG537" s="55">
        <v>-44574.32</v>
      </c>
      <c r="AH537" s="55"/>
      <c r="AI537" s="55">
        <v>504421.94</v>
      </c>
      <c r="AJ537" s="55"/>
      <c r="AK537" s="55">
        <v>459847.62</v>
      </c>
      <c r="AL537" s="8">
        <f>+'Gov Rev'!AI534-'Gov Exp'!AE537+'Gov Exp'!AI537-'Gov Exp'!AK537</f>
        <v>0</v>
      </c>
      <c r="AM537" s="6" t="str">
        <f>'Gov Rev'!A534</f>
        <v>Russia</v>
      </c>
      <c r="AN537" s="6" t="str">
        <f t="shared" si="22"/>
        <v>Russia</v>
      </c>
      <c r="AO537" s="6" t="b">
        <f t="shared" si="23"/>
        <v>1</v>
      </c>
    </row>
    <row r="538" spans="1:41" x14ac:dyDescent="0.2">
      <c r="A538" s="6" t="s">
        <v>648</v>
      </c>
      <c r="C538" s="6" t="s">
        <v>431</v>
      </c>
      <c r="E538" s="8">
        <v>23846.55</v>
      </c>
      <c r="G538" s="8">
        <v>0</v>
      </c>
      <c r="I538" s="8">
        <v>1354</v>
      </c>
      <c r="K538" s="8">
        <v>0</v>
      </c>
      <c r="M538" s="8">
        <v>0</v>
      </c>
      <c r="O538" s="8">
        <v>8133.91</v>
      </c>
      <c r="Q538" s="8">
        <v>53789.13</v>
      </c>
      <c r="S538" s="8">
        <v>0</v>
      </c>
      <c r="U538" s="8">
        <v>4578.6499999999996</v>
      </c>
      <c r="W538" s="8">
        <v>319.58999999999997</v>
      </c>
      <c r="Y538" s="8">
        <v>34361.949999999997</v>
      </c>
      <c r="AA538" s="8">
        <v>0</v>
      </c>
      <c r="AC538" s="8">
        <v>0</v>
      </c>
      <c r="AE538" s="8">
        <f t="shared" si="21"/>
        <v>126383.77999999998</v>
      </c>
      <c r="AF538" s="8"/>
      <c r="AG538" s="55">
        <v>15057.39</v>
      </c>
      <c r="AH538" s="55"/>
      <c r="AI538" s="55">
        <v>39039.050000000003</v>
      </c>
      <c r="AJ538" s="55"/>
      <c r="AK538" s="55">
        <v>54096.44</v>
      </c>
      <c r="AL538" s="8">
        <f>+'Gov Rev'!AI535-'Gov Exp'!AE538+'Gov Exp'!AI538-'Gov Exp'!AK538</f>
        <v>0</v>
      </c>
      <c r="AM538" s="6" t="str">
        <f>'Gov Rev'!A535</f>
        <v>Rutland</v>
      </c>
      <c r="AN538" s="6" t="str">
        <f t="shared" si="22"/>
        <v>Rutland</v>
      </c>
      <c r="AO538" s="6" t="b">
        <f t="shared" si="23"/>
        <v>1</v>
      </c>
    </row>
    <row r="539" spans="1:41" x14ac:dyDescent="0.2">
      <c r="A539" s="6" t="s">
        <v>282</v>
      </c>
      <c r="C539" s="6" t="s">
        <v>280</v>
      </c>
      <c r="E539" s="8">
        <v>358592.1</v>
      </c>
      <c r="G539" s="8">
        <v>592.65</v>
      </c>
      <c r="I539" s="8">
        <v>2008.72</v>
      </c>
      <c r="K539" s="8">
        <v>0</v>
      </c>
      <c r="M539" s="8">
        <v>0</v>
      </c>
      <c r="O539" s="8">
        <v>178029.01</v>
      </c>
      <c r="Q539" s="8">
        <v>215089.47</v>
      </c>
      <c r="S539" s="8">
        <v>392.25</v>
      </c>
      <c r="U539" s="8">
        <v>0</v>
      </c>
      <c r="W539" s="8">
        <v>0</v>
      </c>
      <c r="Y539" s="8">
        <v>0</v>
      </c>
      <c r="AA539" s="8">
        <v>0</v>
      </c>
      <c r="AC539" s="8">
        <v>6384.8</v>
      </c>
      <c r="AE539" s="8">
        <f t="shared" si="21"/>
        <v>761089</v>
      </c>
      <c r="AF539" s="8"/>
      <c r="AG539" s="55">
        <v>-150179.22</v>
      </c>
      <c r="AH539" s="55"/>
      <c r="AI539" s="55">
        <v>699930.01</v>
      </c>
      <c r="AJ539" s="55"/>
      <c r="AK539" s="55">
        <v>549750.79</v>
      </c>
      <c r="AL539" s="8">
        <f>+'Gov Rev'!AI536-'Gov Exp'!AE539+'Gov Exp'!AI539-'Gov Exp'!AK539</f>
        <v>0</v>
      </c>
      <c r="AM539" s="6" t="str">
        <f>'Gov Rev'!A536</f>
        <v>Sabina</v>
      </c>
      <c r="AN539" s="6" t="str">
        <f t="shared" si="22"/>
        <v>Sabina</v>
      </c>
      <c r="AO539" s="6" t="b">
        <f t="shared" si="23"/>
        <v>1</v>
      </c>
    </row>
    <row r="540" spans="1:41" x14ac:dyDescent="0.2">
      <c r="A540" s="6" t="s">
        <v>44</v>
      </c>
      <c r="C540" s="6" t="s">
        <v>283</v>
      </c>
      <c r="E540" s="8">
        <v>106035.21</v>
      </c>
      <c r="G540" s="8">
        <v>20037.810000000001</v>
      </c>
      <c r="I540" s="8">
        <v>0</v>
      </c>
      <c r="K540" s="8">
        <v>0</v>
      </c>
      <c r="M540" s="8">
        <v>0</v>
      </c>
      <c r="O540" s="8">
        <v>78343.56</v>
      </c>
      <c r="Q540" s="8">
        <v>110100.74</v>
      </c>
      <c r="S540" s="8">
        <v>0</v>
      </c>
      <c r="U540" s="8">
        <v>0</v>
      </c>
      <c r="W540" s="8">
        <v>0</v>
      </c>
      <c r="Y540" s="8">
        <v>11000</v>
      </c>
      <c r="AA540" s="8">
        <v>0</v>
      </c>
      <c r="AC540" s="8">
        <v>0</v>
      </c>
      <c r="AE540" s="8">
        <f t="shared" si="21"/>
        <v>325517.32</v>
      </c>
      <c r="AF540" s="8"/>
      <c r="AG540" s="55">
        <v>88568.36</v>
      </c>
      <c r="AH540" s="55"/>
      <c r="AI540" s="55">
        <v>171766.69</v>
      </c>
      <c r="AJ540" s="55"/>
      <c r="AK540" s="55">
        <v>260335.05</v>
      </c>
      <c r="AL540" s="8">
        <f>+'Gov Rev'!AI537-'Gov Exp'!AE540+'Gov Exp'!AI540-'Gov Exp'!AK540</f>
        <v>0</v>
      </c>
      <c r="AM540" s="6" t="str">
        <f>'Gov Rev'!A537</f>
        <v>Salineville</v>
      </c>
      <c r="AN540" s="6" t="str">
        <f t="shared" si="22"/>
        <v>Salineville</v>
      </c>
      <c r="AO540" s="6" t="b">
        <f t="shared" si="23"/>
        <v>1</v>
      </c>
    </row>
    <row r="541" spans="1:41" ht="12.75" x14ac:dyDescent="0.2">
      <c r="A541" s="6" t="s">
        <v>785</v>
      </c>
      <c r="C541" s="6" t="s">
        <v>455</v>
      </c>
      <c r="D541" s="11"/>
      <c r="E541" s="8">
        <v>3742</v>
      </c>
      <c r="G541" s="8">
        <v>0</v>
      </c>
      <c r="I541" s="8">
        <v>333</v>
      </c>
      <c r="K541" s="8">
        <v>0</v>
      </c>
      <c r="M541" s="8">
        <v>0</v>
      </c>
      <c r="O541" s="8">
        <v>6767</v>
      </c>
      <c r="Q541" s="8">
        <v>8629</v>
      </c>
      <c r="S541" s="8">
        <v>0</v>
      </c>
      <c r="U541" s="8">
        <v>0</v>
      </c>
      <c r="W541" s="8">
        <v>0</v>
      </c>
      <c r="Y541" s="8">
        <v>0</v>
      </c>
      <c r="AA541" s="8">
        <v>0</v>
      </c>
      <c r="AC541" s="8">
        <v>0</v>
      </c>
      <c r="AE541" s="8">
        <f t="shared" si="21"/>
        <v>19471</v>
      </c>
      <c r="AF541" s="8"/>
      <c r="AG541" s="55"/>
      <c r="AH541" s="55"/>
      <c r="AI541" s="55"/>
      <c r="AJ541" s="55"/>
      <c r="AK541" s="55"/>
      <c r="AL541" s="8">
        <f>+'Gov Rev'!AI538-'Gov Exp'!AE541+'Gov Exp'!AI541-'Gov Exp'!AK541</f>
        <v>2748</v>
      </c>
      <c r="AM541" s="6" t="str">
        <f>'Gov Rev'!A538</f>
        <v>Sarahsville</v>
      </c>
      <c r="AN541" s="6" t="str">
        <f t="shared" si="22"/>
        <v>Sarahsville</v>
      </c>
      <c r="AO541" s="6" t="b">
        <f t="shared" si="23"/>
        <v>1</v>
      </c>
    </row>
    <row r="542" spans="1:41" x14ac:dyDescent="0.2">
      <c r="A542" s="6" t="s">
        <v>25</v>
      </c>
      <c r="C542" s="6" t="s">
        <v>265</v>
      </c>
      <c r="E542" s="8">
        <v>116492.16</v>
      </c>
      <c r="G542" s="8">
        <v>17084.66</v>
      </c>
      <c r="I542" s="8">
        <v>0</v>
      </c>
      <c r="K542" s="8">
        <v>0</v>
      </c>
      <c r="M542" s="8">
        <v>0</v>
      </c>
      <c r="O542" s="8">
        <v>33580.04</v>
      </c>
      <c r="Q542" s="8">
        <v>142340.21</v>
      </c>
      <c r="S542" s="8">
        <v>20200.32</v>
      </c>
      <c r="U542" s="8">
        <v>132719.37</v>
      </c>
      <c r="W542" s="8">
        <v>50986.42</v>
      </c>
      <c r="Y542" s="8">
        <v>200000</v>
      </c>
      <c r="AA542" s="8">
        <v>0</v>
      </c>
      <c r="AC542" s="8">
        <v>0</v>
      </c>
      <c r="AE542" s="8">
        <f t="shared" si="21"/>
        <v>713403.17999999993</v>
      </c>
      <c r="AF542" s="8"/>
      <c r="AG542" s="55">
        <v>92308.17</v>
      </c>
      <c r="AH542" s="55"/>
      <c r="AI542" s="55">
        <v>318297.38</v>
      </c>
      <c r="AJ542" s="55"/>
      <c r="AK542" s="55">
        <v>410605.55</v>
      </c>
      <c r="AL542" s="8">
        <f>+'Gov Rev'!AI539-'Gov Exp'!AE542+'Gov Exp'!AI542-'Gov Exp'!AK542</f>
        <v>0</v>
      </c>
      <c r="AM542" s="6" t="str">
        <f>'Gov Rev'!A539</f>
        <v>Sardinia</v>
      </c>
      <c r="AN542" s="6" t="str">
        <f t="shared" si="22"/>
        <v>Sardinia</v>
      </c>
      <c r="AO542" s="6" t="b">
        <f t="shared" si="23"/>
        <v>1</v>
      </c>
    </row>
    <row r="543" spans="1:41" ht="12.75" x14ac:dyDescent="0.2">
      <c r="A543" s="6" t="s">
        <v>626</v>
      </c>
      <c r="C543" s="6" t="s">
        <v>619</v>
      </c>
      <c r="D543" s="11"/>
      <c r="E543" s="8">
        <v>9791</v>
      </c>
      <c r="G543" s="8">
        <v>0</v>
      </c>
      <c r="I543" s="8">
        <v>1550</v>
      </c>
      <c r="K543" s="8">
        <v>54</v>
      </c>
      <c r="M543" s="8">
        <v>0</v>
      </c>
      <c r="O543" s="8">
        <v>13245</v>
      </c>
      <c r="Q543" s="8">
        <v>27882</v>
      </c>
      <c r="S543" s="8">
        <v>124</v>
      </c>
      <c r="U543" s="8">
        <v>0</v>
      </c>
      <c r="W543" s="8">
        <v>0</v>
      </c>
      <c r="Y543" s="8">
        <v>0</v>
      </c>
      <c r="AA543" s="8">
        <v>0</v>
      </c>
      <c r="AC543" s="8">
        <v>6482</v>
      </c>
      <c r="AE543" s="8">
        <f t="shared" si="21"/>
        <v>59128</v>
      </c>
      <c r="AF543" s="8"/>
      <c r="AG543" s="55"/>
      <c r="AH543" s="55"/>
      <c r="AI543" s="55"/>
      <c r="AJ543" s="55"/>
      <c r="AK543" s="55"/>
      <c r="AL543" s="8">
        <f>+'Gov Rev'!AI540-'Gov Exp'!AE543+'Gov Exp'!AI543-'Gov Exp'!AK543</f>
        <v>-18749</v>
      </c>
      <c r="AM543" s="6" t="str">
        <f>'Gov Rev'!A540</f>
        <v>Savannah</v>
      </c>
      <c r="AN543" s="6" t="str">
        <f t="shared" si="22"/>
        <v>Savannah</v>
      </c>
      <c r="AO543" s="6" t="b">
        <f t="shared" si="23"/>
        <v>1</v>
      </c>
    </row>
    <row r="544" spans="1:41" x14ac:dyDescent="0.2">
      <c r="A544" s="6" t="s">
        <v>376</v>
      </c>
      <c r="C544" s="6" t="s">
        <v>373</v>
      </c>
      <c r="E544" s="8">
        <v>42948</v>
      </c>
      <c r="G544" s="8">
        <v>545</v>
      </c>
      <c r="I544" s="8">
        <v>3427</v>
      </c>
      <c r="K544" s="8">
        <v>0</v>
      </c>
      <c r="M544" s="8">
        <v>0</v>
      </c>
      <c r="O544" s="8">
        <v>39523</v>
      </c>
      <c r="Q544" s="8">
        <v>113731</v>
      </c>
      <c r="S544" s="8">
        <v>0</v>
      </c>
      <c r="U544" s="8">
        <v>0</v>
      </c>
      <c r="W544" s="8">
        <v>0</v>
      </c>
      <c r="Y544" s="8">
        <v>3200</v>
      </c>
      <c r="AA544" s="8">
        <v>0</v>
      </c>
      <c r="AC544" s="8">
        <v>18018</v>
      </c>
      <c r="AE544" s="8">
        <f t="shared" si="21"/>
        <v>221392</v>
      </c>
      <c r="AF544" s="8"/>
      <c r="AG544" s="55"/>
      <c r="AH544" s="55"/>
      <c r="AI544" s="55"/>
      <c r="AJ544" s="55"/>
      <c r="AK544" s="55"/>
      <c r="AL544" s="8">
        <f>+'Gov Rev'!AI541-'Gov Exp'!AE544+'Gov Exp'!AI544-'Gov Exp'!AK544</f>
        <v>110221</v>
      </c>
      <c r="AM544" s="6" t="str">
        <f>'Gov Rev'!A541</f>
        <v>Scio</v>
      </c>
      <c r="AN544" s="6" t="str">
        <f t="shared" si="22"/>
        <v>Scio</v>
      </c>
      <c r="AO544" s="6" t="b">
        <f t="shared" si="23"/>
        <v>1</v>
      </c>
    </row>
    <row r="545" spans="1:41" x14ac:dyDescent="0.2">
      <c r="A545" s="6" t="s">
        <v>534</v>
      </c>
      <c r="C545" s="6" t="s">
        <v>532</v>
      </c>
      <c r="E545" s="8">
        <v>65548.95</v>
      </c>
      <c r="G545" s="8">
        <v>0</v>
      </c>
      <c r="I545" s="8">
        <v>9317.25</v>
      </c>
      <c r="K545" s="8">
        <v>58.45</v>
      </c>
      <c r="M545" s="8">
        <v>100</v>
      </c>
      <c r="O545" s="8">
        <v>6069.28</v>
      </c>
      <c r="Q545" s="8">
        <v>26856.639999999999</v>
      </c>
      <c r="S545" s="8">
        <v>4241.47</v>
      </c>
      <c r="U545" s="8">
        <v>0</v>
      </c>
      <c r="W545" s="8">
        <v>0</v>
      </c>
      <c r="Y545" s="8">
        <v>7000</v>
      </c>
      <c r="AA545" s="8">
        <v>0</v>
      </c>
      <c r="AC545" s="8">
        <v>0</v>
      </c>
      <c r="AE545" s="8">
        <f t="shared" si="21"/>
        <v>119192.04</v>
      </c>
      <c r="AF545" s="8"/>
      <c r="AG545" s="55">
        <v>10109.040000000001</v>
      </c>
      <c r="AH545" s="55"/>
      <c r="AI545" s="55">
        <v>158646.51999999999</v>
      </c>
      <c r="AJ545" s="55"/>
      <c r="AK545" s="55">
        <v>168755.56</v>
      </c>
      <c r="AL545" s="8">
        <f>+'Gov Rev'!AI545-'Gov Exp'!AE545+'Gov Exp'!AI545-'Gov Exp'!AK545</f>
        <v>0</v>
      </c>
      <c r="AM545" s="6" t="str">
        <f>'Gov Rev'!A545</f>
        <v>Scott</v>
      </c>
      <c r="AN545" s="6" t="str">
        <f t="shared" si="22"/>
        <v>Scott</v>
      </c>
      <c r="AO545" s="6" t="b">
        <f t="shared" si="23"/>
        <v>1</v>
      </c>
    </row>
    <row r="546" spans="1:41" ht="12.75" x14ac:dyDescent="0.2">
      <c r="A546" s="6" t="s">
        <v>627</v>
      </c>
      <c r="C546" s="6" t="s">
        <v>616</v>
      </c>
      <c r="D546" s="11"/>
      <c r="E546" s="8">
        <v>107940</v>
      </c>
      <c r="G546" s="8">
        <v>0</v>
      </c>
      <c r="I546" s="8">
        <v>0</v>
      </c>
      <c r="K546" s="8">
        <v>0</v>
      </c>
      <c r="M546" s="8">
        <v>12917</v>
      </c>
      <c r="O546" s="8">
        <v>0</v>
      </c>
      <c r="Q546" s="8">
        <v>92254</v>
      </c>
      <c r="S546" s="8">
        <v>0</v>
      </c>
      <c r="U546" s="8">
        <v>0</v>
      </c>
      <c r="W546" s="8">
        <v>0</v>
      </c>
      <c r="Y546" s="8">
        <v>0</v>
      </c>
      <c r="AA546" s="8">
        <v>0</v>
      </c>
      <c r="AC546" s="8">
        <v>0</v>
      </c>
      <c r="AE546" s="8">
        <f t="shared" ref="AE546:AE611" si="24">SUM(E546:AC546)</f>
        <v>213111</v>
      </c>
      <c r="AF546" s="8"/>
      <c r="AG546" s="55"/>
      <c r="AH546" s="55"/>
      <c r="AI546" s="55"/>
      <c r="AJ546" s="55"/>
      <c r="AK546" s="55"/>
      <c r="AL546" s="8">
        <f>+'Gov Rev'!AI546-'Gov Exp'!AE546+'Gov Exp'!AI546-'Gov Exp'!AK546</f>
        <v>1118</v>
      </c>
      <c r="AM546" s="6" t="str">
        <f>'Gov Rev'!A546</f>
        <v>Seaman</v>
      </c>
      <c r="AN546" s="6" t="str">
        <f t="shared" ref="AN546:AN611" si="25">A546</f>
        <v>Seaman</v>
      </c>
      <c r="AO546" s="6" t="b">
        <f t="shared" ref="AO546:AO611" si="26">AM546=AN546</f>
        <v>1</v>
      </c>
    </row>
    <row r="547" spans="1:41" x14ac:dyDescent="0.2">
      <c r="A547" s="6" t="s">
        <v>428</v>
      </c>
      <c r="C547" s="6" t="s">
        <v>429</v>
      </c>
      <c r="E547" s="8">
        <v>876249</v>
      </c>
      <c r="G547" s="8">
        <v>12509</v>
      </c>
      <c r="I547" s="8">
        <v>133279</v>
      </c>
      <c r="K547" s="8">
        <v>10500</v>
      </c>
      <c r="M547" s="8">
        <v>0</v>
      </c>
      <c r="O547" s="8">
        <v>315886</v>
      </c>
      <c r="Q547" s="8">
        <v>676431</v>
      </c>
      <c r="S547" s="8">
        <v>6143</v>
      </c>
      <c r="U547" s="8">
        <v>579610</v>
      </c>
      <c r="W547" s="8">
        <v>0</v>
      </c>
      <c r="Y547" s="8">
        <v>0</v>
      </c>
      <c r="AA547" s="8">
        <v>0</v>
      </c>
      <c r="AC547" s="8">
        <v>190204</v>
      </c>
      <c r="AE547" s="8">
        <f t="shared" si="24"/>
        <v>2800811</v>
      </c>
      <c r="AF547" s="8"/>
      <c r="AG547" s="55"/>
      <c r="AH547" s="55"/>
      <c r="AI547" s="55"/>
      <c r="AJ547" s="55"/>
      <c r="AK547" s="55"/>
      <c r="AL547" s="8">
        <f>+'Gov Rev'!AI547-'Gov Exp'!AE547+'Gov Exp'!AI547-'Gov Exp'!AK547</f>
        <v>576775</v>
      </c>
      <c r="AM547" s="6" t="str">
        <f>'Gov Rev'!A547</f>
        <v>Sebring</v>
      </c>
      <c r="AN547" s="6" t="str">
        <f t="shared" si="25"/>
        <v>Sebring</v>
      </c>
      <c r="AO547" s="6" t="b">
        <f t="shared" si="26"/>
        <v>1</v>
      </c>
    </row>
    <row r="548" spans="1:41" x14ac:dyDescent="0.2">
      <c r="A548" s="6" t="s">
        <v>85</v>
      </c>
      <c r="C548" s="6" t="s">
        <v>349</v>
      </c>
      <c r="E548" s="8">
        <v>72586.179999999993</v>
      </c>
      <c r="G548" s="8">
        <v>1262.23</v>
      </c>
      <c r="I548" s="8">
        <v>678.93</v>
      </c>
      <c r="K548" s="8">
        <v>0</v>
      </c>
      <c r="M548" s="8">
        <v>0</v>
      </c>
      <c r="O548" s="8">
        <v>32968.15</v>
      </c>
      <c r="Q548" s="8">
        <v>28155.86</v>
      </c>
      <c r="S548" s="8">
        <v>0</v>
      </c>
      <c r="U548" s="8">
        <v>26438.38</v>
      </c>
      <c r="W548" s="8">
        <v>1948.06</v>
      </c>
      <c r="Y548" s="8">
        <v>604</v>
      </c>
      <c r="AA548" s="8">
        <v>0</v>
      </c>
      <c r="AC548" s="8">
        <v>0</v>
      </c>
      <c r="AE548" s="8">
        <f t="shared" si="24"/>
        <v>164641.78999999998</v>
      </c>
      <c r="AF548" s="8"/>
      <c r="AG548" s="55">
        <v>-15263.21</v>
      </c>
      <c r="AH548" s="55"/>
      <c r="AI548" s="55">
        <v>233621.59</v>
      </c>
      <c r="AJ548" s="55"/>
      <c r="AK548" s="55">
        <v>218358.38</v>
      </c>
      <c r="AL548" s="8">
        <f>+'Gov Rev'!AI548-'Gov Exp'!AE548+'Gov Exp'!AI548-'Gov Exp'!AK548</f>
        <v>0</v>
      </c>
      <c r="AM548" s="6" t="str">
        <f>'Gov Rev'!A548</f>
        <v>Senecaville</v>
      </c>
      <c r="AN548" s="6" t="str">
        <f t="shared" si="25"/>
        <v>Senecaville</v>
      </c>
      <c r="AO548" s="6" t="b">
        <f t="shared" si="26"/>
        <v>1</v>
      </c>
    </row>
    <row r="549" spans="1:41" x14ac:dyDescent="0.2">
      <c r="A549" s="6" t="s">
        <v>26</v>
      </c>
      <c r="C549" s="6" t="s">
        <v>480</v>
      </c>
      <c r="E549" s="8">
        <v>224479.46</v>
      </c>
      <c r="G549" s="8">
        <v>131.12</v>
      </c>
      <c r="I549" s="8">
        <v>3150.78</v>
      </c>
      <c r="K549" s="8">
        <v>0</v>
      </c>
      <c r="M549" s="8">
        <v>444.22</v>
      </c>
      <c r="O549" s="8">
        <v>29302.5</v>
      </c>
      <c r="Q549" s="8">
        <v>80495.47</v>
      </c>
      <c r="S549" s="8">
        <v>0</v>
      </c>
      <c r="U549" s="8">
        <v>0</v>
      </c>
      <c r="W549" s="8">
        <v>0</v>
      </c>
      <c r="Y549" s="8">
        <v>0</v>
      </c>
      <c r="AA549" s="8">
        <v>0</v>
      </c>
      <c r="AC549" s="8">
        <v>0</v>
      </c>
      <c r="AE549" s="8">
        <f t="shared" si="24"/>
        <v>338003.55</v>
      </c>
      <c r="AF549" s="8"/>
      <c r="AG549" s="55">
        <v>-126620.82</v>
      </c>
      <c r="AH549" s="55"/>
      <c r="AI549" s="55">
        <v>525710.37</v>
      </c>
      <c r="AJ549" s="55"/>
      <c r="AK549" s="55">
        <v>399089.55</v>
      </c>
      <c r="AL549" s="8">
        <f>+'Gov Rev'!AI549-'Gov Exp'!AE549+'Gov Exp'!AI549-'Gov Exp'!AK549</f>
        <v>0</v>
      </c>
      <c r="AM549" s="6" t="str">
        <f>'Gov Rev'!A549</f>
        <v>Seven Mile</v>
      </c>
      <c r="AN549" s="6" t="str">
        <f t="shared" si="25"/>
        <v>Seven Mile</v>
      </c>
      <c r="AO549" s="6" t="b">
        <f t="shared" si="26"/>
        <v>1</v>
      </c>
    </row>
    <row r="550" spans="1:41" x14ac:dyDescent="0.2">
      <c r="A550" s="6" t="s">
        <v>144</v>
      </c>
      <c r="C550" s="6" t="s">
        <v>823</v>
      </c>
      <c r="E550" s="8">
        <v>561903.61</v>
      </c>
      <c r="G550" s="8">
        <v>1506.5</v>
      </c>
      <c r="I550" s="8">
        <v>90191.12</v>
      </c>
      <c r="K550" s="8">
        <v>20515.57</v>
      </c>
      <c r="M550" s="8">
        <v>0</v>
      </c>
      <c r="O550" s="8">
        <v>304552.58</v>
      </c>
      <c r="Q550" s="8">
        <v>290243.24</v>
      </c>
      <c r="S550" s="8">
        <v>465679.84</v>
      </c>
      <c r="U550" s="8">
        <v>56000.03</v>
      </c>
      <c r="W550" s="8">
        <v>61700.41</v>
      </c>
      <c r="Y550" s="8">
        <v>1174046.53</v>
      </c>
      <c r="AA550" s="8">
        <v>0</v>
      </c>
      <c r="AC550" s="8">
        <v>0</v>
      </c>
      <c r="AE550" s="8">
        <f t="shared" si="24"/>
        <v>3026339.4299999997</v>
      </c>
      <c r="AF550" s="8"/>
      <c r="AG550" s="55">
        <v>577345.64</v>
      </c>
      <c r="AH550" s="55"/>
      <c r="AI550" s="55">
        <v>1684598.65</v>
      </c>
      <c r="AJ550" s="55"/>
      <c r="AK550" s="55">
        <v>2261944.29</v>
      </c>
      <c r="AL550" s="8">
        <f>+'Gov Rev'!AI550-'Gov Exp'!AE550+'Gov Exp'!AI550-'Gov Exp'!AK550</f>
        <v>0</v>
      </c>
      <c r="AM550" s="6" t="str">
        <f>'Gov Rev'!A550</f>
        <v>Seville</v>
      </c>
      <c r="AN550" s="6" t="str">
        <f t="shared" si="25"/>
        <v>Seville</v>
      </c>
      <c r="AO550" s="6" t="b">
        <f t="shared" si="26"/>
        <v>1</v>
      </c>
    </row>
    <row r="551" spans="1:41" x14ac:dyDescent="0.2">
      <c r="A551" s="6" t="s">
        <v>20</v>
      </c>
      <c r="C551" s="6" t="s">
        <v>261</v>
      </c>
      <c r="E551" s="8">
        <v>608650.80000000005</v>
      </c>
      <c r="G551" s="8">
        <v>13101.38</v>
      </c>
      <c r="I551" s="8">
        <v>27696.17</v>
      </c>
      <c r="K551" s="8">
        <v>0</v>
      </c>
      <c r="M551" s="8">
        <v>0</v>
      </c>
      <c r="O551" s="8">
        <v>181183.98</v>
      </c>
      <c r="Q551" s="8">
        <v>202881.57</v>
      </c>
      <c r="S551" s="8">
        <v>8052.9</v>
      </c>
      <c r="U551" s="8">
        <v>2187.4299999999998</v>
      </c>
      <c r="W551" s="8">
        <v>535.29999999999995</v>
      </c>
      <c r="Y551" s="8">
        <v>0</v>
      </c>
      <c r="AA551" s="8">
        <v>0</v>
      </c>
      <c r="AC551" s="8">
        <v>4.3600000000000003</v>
      </c>
      <c r="AE551" s="8">
        <f t="shared" si="24"/>
        <v>1044293.8900000002</v>
      </c>
      <c r="AF551" s="8"/>
      <c r="AG551" s="55">
        <v>16067.45</v>
      </c>
      <c r="AH551" s="55"/>
      <c r="AI551" s="55">
        <v>1420844.61</v>
      </c>
      <c r="AJ551" s="55"/>
      <c r="AK551" s="55">
        <v>1436912.06</v>
      </c>
      <c r="AL551" s="8">
        <f>+'Gov Rev'!AI551-'Gov Exp'!AE551+'Gov Exp'!AI551-'Gov Exp'!AK551</f>
        <v>0</v>
      </c>
      <c r="AM551" s="6" t="str">
        <f>'Gov Rev'!A551</f>
        <v>Shadyside</v>
      </c>
      <c r="AN551" s="6" t="str">
        <f t="shared" si="25"/>
        <v>Shadyside</v>
      </c>
      <c r="AO551" s="6" t="b">
        <f t="shared" si="26"/>
        <v>1</v>
      </c>
    </row>
    <row r="552" spans="1:41" x14ac:dyDescent="0.2">
      <c r="A552" s="6" t="s">
        <v>173</v>
      </c>
      <c r="C552" s="6" t="s">
        <v>464</v>
      </c>
      <c r="E552" s="8">
        <v>68818.06</v>
      </c>
      <c r="G552" s="8">
        <v>7293.5</v>
      </c>
      <c r="I552" s="8">
        <v>0</v>
      </c>
      <c r="K552" s="8">
        <v>0</v>
      </c>
      <c r="M552" s="8">
        <v>0</v>
      </c>
      <c r="O552" s="8">
        <v>23457.200000000001</v>
      </c>
      <c r="Q552" s="8">
        <v>50788.54</v>
      </c>
      <c r="S552" s="8">
        <v>0</v>
      </c>
      <c r="U552" s="8">
        <v>0</v>
      </c>
      <c r="W552" s="8">
        <v>0</v>
      </c>
      <c r="Y552" s="8">
        <v>0</v>
      </c>
      <c r="AA552" s="8">
        <v>0</v>
      </c>
      <c r="AC552" s="8">
        <v>33060.14</v>
      </c>
      <c r="AE552" s="8">
        <f t="shared" si="24"/>
        <v>183417.44</v>
      </c>
      <c r="AF552" s="8"/>
      <c r="AG552" s="55">
        <v>7753.35</v>
      </c>
      <c r="AH552" s="55"/>
      <c r="AI552" s="55">
        <v>178625.86</v>
      </c>
      <c r="AJ552" s="55"/>
      <c r="AK552" s="55">
        <v>186379.21</v>
      </c>
      <c r="AL552" s="8">
        <f>+'Gov Rev'!AI552-'Gov Exp'!AE552+'Gov Exp'!AI552-'Gov Exp'!AK552</f>
        <v>0</v>
      </c>
      <c r="AM552" s="6" t="str">
        <f>'Gov Rev'!A552</f>
        <v>Shawnee</v>
      </c>
      <c r="AN552" s="6" t="str">
        <f t="shared" si="25"/>
        <v>Shawnee</v>
      </c>
      <c r="AO552" s="6" t="b">
        <f t="shared" si="26"/>
        <v>1</v>
      </c>
    </row>
    <row r="553" spans="1:41" x14ac:dyDescent="0.2">
      <c r="A553" s="6" t="s">
        <v>322</v>
      </c>
      <c r="C553" s="6" t="s">
        <v>320</v>
      </c>
      <c r="E553" s="8">
        <v>446844.97</v>
      </c>
      <c r="G553" s="8">
        <v>0</v>
      </c>
      <c r="I553" s="8">
        <v>0</v>
      </c>
      <c r="K553" s="8">
        <v>73036.259999999995</v>
      </c>
      <c r="M553" s="8">
        <v>0</v>
      </c>
      <c r="O553" s="8">
        <v>56261.02</v>
      </c>
      <c r="Q553" s="8">
        <v>282578.17</v>
      </c>
      <c r="S553" s="8">
        <v>179478.39</v>
      </c>
      <c r="U553" s="8">
        <v>538.94000000000005</v>
      </c>
      <c r="W553" s="8">
        <v>0</v>
      </c>
      <c r="Y553" s="8">
        <v>0</v>
      </c>
      <c r="AA553" s="8">
        <v>0</v>
      </c>
      <c r="AC553" s="8">
        <v>8194.9</v>
      </c>
      <c r="AE553" s="8">
        <f t="shared" si="24"/>
        <v>1046932.6499999999</v>
      </c>
      <c r="AF553" s="8"/>
      <c r="AG553" s="55">
        <v>-136529.14000000001</v>
      </c>
      <c r="AH553" s="55"/>
      <c r="AI553" s="55">
        <v>750078.08</v>
      </c>
      <c r="AJ553" s="55"/>
      <c r="AK553" s="55">
        <v>613548.93999999994</v>
      </c>
      <c r="AL553" s="8">
        <f>+'Gov Rev'!AI553-'Gov Exp'!AE553+'Gov Exp'!AI553-'Gov Exp'!AK553</f>
        <v>0</v>
      </c>
      <c r="AM553" s="6" t="str">
        <f>'Gov Rev'!A553</f>
        <v>Shawnee Hills</v>
      </c>
      <c r="AN553" s="6" t="str">
        <f t="shared" si="25"/>
        <v>Shawnee Hills</v>
      </c>
      <c r="AO553" s="6" t="b">
        <f t="shared" si="26"/>
        <v>1</v>
      </c>
    </row>
    <row r="554" spans="1:41" x14ac:dyDescent="0.2">
      <c r="A554" s="6" t="s">
        <v>420</v>
      </c>
      <c r="C554" s="6" t="s">
        <v>419</v>
      </c>
      <c r="E554" s="8">
        <v>3455225</v>
      </c>
      <c r="G554" s="8">
        <v>0</v>
      </c>
      <c r="I554" s="8">
        <v>28654</v>
      </c>
      <c r="K554" s="8">
        <v>6841</v>
      </c>
      <c r="M554" s="8">
        <v>65341</v>
      </c>
      <c r="O554" s="8">
        <v>265060</v>
      </c>
      <c r="Q554" s="8">
        <v>1222414</v>
      </c>
      <c r="S554" s="8">
        <v>283998</v>
      </c>
      <c r="U554" s="8">
        <v>1136879</v>
      </c>
      <c r="W554" s="8">
        <v>197809</v>
      </c>
      <c r="Y554" s="8">
        <v>254819</v>
      </c>
      <c r="AA554" s="8">
        <v>0</v>
      </c>
      <c r="AC554" s="8">
        <v>0</v>
      </c>
      <c r="AE554" s="8">
        <f t="shared" si="24"/>
        <v>6917040</v>
      </c>
      <c r="AF554" s="8"/>
      <c r="AG554" s="55"/>
      <c r="AH554" s="55"/>
      <c r="AI554" s="55"/>
      <c r="AJ554" s="55"/>
      <c r="AK554" s="55"/>
      <c r="AL554" s="8">
        <f>+'Gov Rev'!AI554-'Gov Exp'!AE554+'Gov Exp'!AI554-'Gov Exp'!AK554</f>
        <v>395835</v>
      </c>
      <c r="AM554" s="6" t="str">
        <f>'Gov Rev'!A554</f>
        <v>Sheffield</v>
      </c>
      <c r="AN554" s="6" t="str">
        <f t="shared" si="25"/>
        <v>Sheffield</v>
      </c>
      <c r="AO554" s="6" t="b">
        <f t="shared" si="26"/>
        <v>1</v>
      </c>
    </row>
    <row r="555" spans="1:41" x14ac:dyDescent="0.2">
      <c r="A555" s="6" t="s">
        <v>30</v>
      </c>
      <c r="C555" s="6" t="s">
        <v>57</v>
      </c>
      <c r="E555" s="8">
        <v>26558.97</v>
      </c>
      <c r="G555" s="8">
        <v>415</v>
      </c>
      <c r="I555" s="8">
        <v>716.03</v>
      </c>
      <c r="K555" s="8">
        <v>0</v>
      </c>
      <c r="M555" s="8">
        <v>12144.16</v>
      </c>
      <c r="O555" s="8">
        <v>16964.759999999998</v>
      </c>
      <c r="Q555" s="8">
        <v>23401.25</v>
      </c>
      <c r="S555" s="8">
        <v>0</v>
      </c>
      <c r="U555" s="8">
        <v>0</v>
      </c>
      <c r="W555" s="8">
        <v>0</v>
      </c>
      <c r="Y555" s="8">
        <v>0</v>
      </c>
      <c r="AA555" s="8">
        <v>0</v>
      </c>
      <c r="AC555" s="8">
        <v>5694.12</v>
      </c>
      <c r="AE555" s="8">
        <f t="shared" si="24"/>
        <v>85894.29</v>
      </c>
      <c r="AF555" s="8"/>
      <c r="AG555" s="55">
        <v>3790.73</v>
      </c>
      <c r="AH555" s="55"/>
      <c r="AI555" s="55">
        <v>83785.89</v>
      </c>
      <c r="AJ555" s="55"/>
      <c r="AK555" s="55">
        <v>87576.62</v>
      </c>
      <c r="AL555" s="8">
        <f>+'Gov Rev'!AI555-'Gov Exp'!AE555+'Gov Exp'!AI555-'Gov Exp'!AK555</f>
        <v>0</v>
      </c>
      <c r="AM555" s="6" t="str">
        <f>'Gov Rev'!A555</f>
        <v>Sherrodsville</v>
      </c>
      <c r="AN555" s="6" t="str">
        <f t="shared" si="25"/>
        <v>Sherrodsville</v>
      </c>
      <c r="AO555" s="6" t="b">
        <f t="shared" si="26"/>
        <v>1</v>
      </c>
    </row>
    <row r="556" spans="1:41" x14ac:dyDescent="0.2">
      <c r="A556" s="6" t="s">
        <v>51</v>
      </c>
      <c r="C556" s="6" t="s">
        <v>319</v>
      </c>
      <c r="E556" s="8">
        <v>69348.7</v>
      </c>
      <c r="G556" s="8">
        <v>1500</v>
      </c>
      <c r="I556" s="8">
        <v>25874.85</v>
      </c>
      <c r="K556" s="8">
        <v>538.25</v>
      </c>
      <c r="M556" s="8">
        <v>0</v>
      </c>
      <c r="O556" s="8">
        <v>29148.880000000001</v>
      </c>
      <c r="Q556" s="8">
        <v>107867.05</v>
      </c>
      <c r="S556" s="8">
        <v>6609.46</v>
      </c>
      <c r="U556" s="8">
        <v>20063.13</v>
      </c>
      <c r="W556" s="8">
        <v>3552.87</v>
      </c>
      <c r="Y556" s="8">
        <v>28351.61</v>
      </c>
      <c r="AA556" s="8">
        <v>0</v>
      </c>
      <c r="AC556" s="8">
        <v>0</v>
      </c>
      <c r="AE556" s="8">
        <f t="shared" si="24"/>
        <v>292854.8</v>
      </c>
      <c r="AF556" s="8"/>
      <c r="AG556" s="55">
        <v>42018.44</v>
      </c>
      <c r="AH556" s="55"/>
      <c r="AI556" s="55">
        <v>252988.37</v>
      </c>
      <c r="AJ556" s="55"/>
      <c r="AK556" s="55">
        <v>295006.81</v>
      </c>
      <c r="AL556" s="8">
        <f>+'Gov Rev'!AI556-'Gov Exp'!AE556+'Gov Exp'!AI556-'Gov Exp'!AK556</f>
        <v>0</v>
      </c>
      <c r="AM556" s="6" t="str">
        <f>'Gov Rev'!A556</f>
        <v>Sherwood</v>
      </c>
      <c r="AN556" s="6" t="str">
        <f t="shared" si="25"/>
        <v>Sherwood</v>
      </c>
      <c r="AO556" s="6" t="b">
        <f t="shared" si="26"/>
        <v>1</v>
      </c>
    </row>
    <row r="557" spans="1:41" x14ac:dyDescent="0.2">
      <c r="A557" s="8" t="s">
        <v>483</v>
      </c>
      <c r="B557" s="8"/>
      <c r="C557" s="8" t="s">
        <v>481</v>
      </c>
      <c r="D557" s="8"/>
      <c r="E557" s="8">
        <v>24498</v>
      </c>
      <c r="G557" s="8">
        <v>687</v>
      </c>
      <c r="I557" s="8">
        <v>1659</v>
      </c>
      <c r="K557" s="8">
        <v>1453</v>
      </c>
      <c r="M557" s="8">
        <v>112</v>
      </c>
      <c r="O557" s="8">
        <v>53115</v>
      </c>
      <c r="Q557" s="8">
        <v>104081</v>
      </c>
      <c r="S557" s="8">
        <v>500</v>
      </c>
      <c r="U557" s="8">
        <v>0</v>
      </c>
      <c r="W557" s="8">
        <v>0</v>
      </c>
      <c r="Y557" s="8">
        <v>0</v>
      </c>
      <c r="AA557" s="8">
        <v>0</v>
      </c>
      <c r="AC557" s="8">
        <v>0</v>
      </c>
      <c r="AE557" s="8">
        <f t="shared" si="24"/>
        <v>186105</v>
      </c>
      <c r="AF557" s="8"/>
      <c r="AG557" s="55"/>
      <c r="AH557" s="55"/>
      <c r="AI557" s="55"/>
      <c r="AJ557" s="55"/>
      <c r="AK557" s="55"/>
      <c r="AL557" s="8">
        <f>+'Gov Rev'!AI557-'Gov Exp'!AE557+'Gov Exp'!AI557-'Gov Exp'!AK557</f>
        <v>67939</v>
      </c>
      <c r="AM557" s="6" t="str">
        <f>'Gov Rev'!A557</f>
        <v>Shiloh</v>
      </c>
      <c r="AN557" s="6" t="str">
        <f t="shared" si="25"/>
        <v>Shiloh</v>
      </c>
      <c r="AO557" s="6" t="b">
        <f t="shared" si="26"/>
        <v>1</v>
      </c>
    </row>
    <row r="558" spans="1:41" x14ac:dyDescent="0.2">
      <c r="A558" s="6" t="s">
        <v>777</v>
      </c>
      <c r="C558" s="6" t="s">
        <v>547</v>
      </c>
      <c r="E558" s="8">
        <v>252606</v>
      </c>
      <c r="G558" s="8">
        <v>0</v>
      </c>
      <c r="I558" s="8">
        <v>0</v>
      </c>
      <c r="K558" s="8">
        <v>0</v>
      </c>
      <c r="M558" s="8">
        <v>0</v>
      </c>
      <c r="O558" s="8">
        <v>69392</v>
      </c>
      <c r="Q558" s="8">
        <v>113068</v>
      </c>
      <c r="S558" s="8">
        <v>1</v>
      </c>
      <c r="U558" s="8">
        <v>0</v>
      </c>
      <c r="W558" s="8">
        <v>0</v>
      </c>
      <c r="Y558" s="8">
        <v>13000</v>
      </c>
      <c r="AA558" s="8">
        <v>0</v>
      </c>
      <c r="AC558" s="8">
        <v>17225</v>
      </c>
      <c r="AE558" s="8">
        <f t="shared" si="24"/>
        <v>465292</v>
      </c>
      <c r="AF558" s="8"/>
      <c r="AG558" s="55"/>
      <c r="AH558" s="55"/>
      <c r="AI558" s="55"/>
      <c r="AJ558" s="55"/>
      <c r="AK558" s="55"/>
      <c r="AL558" s="8">
        <f>+'Gov Rev'!AI558-'Gov Exp'!AE558+'Gov Exp'!AI558-'Gov Exp'!AK558</f>
        <v>-66966</v>
      </c>
      <c r="AM558" s="6" t="str">
        <f>'Gov Rev'!A558</f>
        <v>Shreve</v>
      </c>
      <c r="AN558" s="6" t="str">
        <f t="shared" si="25"/>
        <v>Shreve</v>
      </c>
      <c r="AO558" s="6" t="b">
        <f t="shared" si="26"/>
        <v>1</v>
      </c>
    </row>
    <row r="559" spans="1:41" x14ac:dyDescent="0.2">
      <c r="A559" s="6" t="s">
        <v>515</v>
      </c>
      <c r="C559" s="6" t="s">
        <v>511</v>
      </c>
      <c r="E559" s="8">
        <v>1046927</v>
      </c>
      <c r="G559" s="8">
        <v>29632</v>
      </c>
      <c r="I559" s="8">
        <v>79174</v>
      </c>
      <c r="K559" s="8">
        <v>2772</v>
      </c>
      <c r="M559" s="8">
        <v>0</v>
      </c>
      <c r="O559" s="8">
        <v>414321</v>
      </c>
      <c r="Q559" s="8">
        <v>367478</v>
      </c>
      <c r="S559" s="8">
        <v>25993</v>
      </c>
      <c r="U559" s="8">
        <v>10000</v>
      </c>
      <c r="W559" s="8">
        <v>2153</v>
      </c>
      <c r="Y559" s="8">
        <v>116062</v>
      </c>
      <c r="AA559" s="8">
        <v>0</v>
      </c>
      <c r="AC559" s="8">
        <v>0</v>
      </c>
      <c r="AE559" s="8">
        <f t="shared" si="24"/>
        <v>2094512</v>
      </c>
      <c r="AF559" s="8"/>
      <c r="AG559" s="55"/>
      <c r="AH559" s="55"/>
      <c r="AI559" s="55"/>
      <c r="AJ559" s="55"/>
      <c r="AK559" s="55"/>
      <c r="AL559" s="8">
        <f>+'Gov Rev'!AI559-'Gov Exp'!AE559+'Gov Exp'!AI559-'Gov Exp'!AK559</f>
        <v>450732</v>
      </c>
      <c r="AM559" s="6" t="str">
        <f>'Gov Rev'!A559</f>
        <v>Silver Lake</v>
      </c>
      <c r="AN559" s="6" t="str">
        <f t="shared" si="25"/>
        <v>Silver Lake</v>
      </c>
      <c r="AO559" s="6" t="b">
        <f t="shared" si="26"/>
        <v>1</v>
      </c>
    </row>
    <row r="560" spans="1:41" x14ac:dyDescent="0.2">
      <c r="A560" s="6" t="s">
        <v>815</v>
      </c>
      <c r="C560" s="6" t="s">
        <v>351</v>
      </c>
      <c r="E560" s="8">
        <v>1091117</v>
      </c>
      <c r="G560" s="8">
        <v>5175</v>
      </c>
      <c r="I560" s="8">
        <v>6765</v>
      </c>
      <c r="K560" s="8">
        <v>407592</v>
      </c>
      <c r="M560" s="8">
        <v>0</v>
      </c>
      <c r="O560" s="8">
        <v>314830</v>
      </c>
      <c r="Q560" s="8">
        <v>579442</v>
      </c>
      <c r="S560" s="8">
        <v>110355</v>
      </c>
      <c r="U560" s="8">
        <v>113125</v>
      </c>
      <c r="W560" s="8">
        <v>11071</v>
      </c>
      <c r="Y560" s="8">
        <v>186000</v>
      </c>
      <c r="AA560" s="8">
        <v>0</v>
      </c>
      <c r="AC560" s="8">
        <v>0</v>
      </c>
      <c r="AE560" s="8">
        <f t="shared" si="24"/>
        <v>2825472</v>
      </c>
      <c r="AF560" s="8"/>
      <c r="AG560" s="55"/>
      <c r="AH560" s="55"/>
      <c r="AI560" s="55"/>
      <c r="AJ560" s="55"/>
      <c r="AK560" s="55"/>
      <c r="AL560" s="8">
        <f>+'Gov Rev'!AI560-'Gov Exp'!AE560+'Gov Exp'!AI560-'Gov Exp'!AK560</f>
        <v>364382</v>
      </c>
      <c r="AM560" s="6" t="str">
        <f>'Gov Rev'!A560</f>
        <v>Silverton</v>
      </c>
      <c r="AN560" s="6" t="str">
        <f t="shared" si="25"/>
        <v>Silverton</v>
      </c>
      <c r="AO560" s="6" t="b">
        <f t="shared" si="26"/>
        <v>1</v>
      </c>
    </row>
    <row r="561" spans="1:41" x14ac:dyDescent="0.2">
      <c r="A561" s="6" t="s">
        <v>381</v>
      </c>
      <c r="C561" s="6" t="s">
        <v>379</v>
      </c>
      <c r="E561" s="8">
        <v>6663</v>
      </c>
      <c r="G561" s="8">
        <v>1000</v>
      </c>
      <c r="I561" s="8">
        <v>0</v>
      </c>
      <c r="K561" s="8">
        <v>0</v>
      </c>
      <c r="M561" s="8">
        <v>0</v>
      </c>
      <c r="O561" s="8">
        <v>6506</v>
      </c>
      <c r="Q561" s="8">
        <v>8405</v>
      </c>
      <c r="S561" s="8">
        <v>6500</v>
      </c>
      <c r="U561" s="8">
        <v>0</v>
      </c>
      <c r="W561" s="8">
        <v>0</v>
      </c>
      <c r="Y561" s="8">
        <v>0</v>
      </c>
      <c r="AA561" s="8">
        <v>0</v>
      </c>
      <c r="AC561" s="8">
        <v>0</v>
      </c>
      <c r="AE561" s="8">
        <f t="shared" si="24"/>
        <v>29074</v>
      </c>
      <c r="AF561" s="8"/>
      <c r="AG561" s="55"/>
      <c r="AH561" s="55"/>
      <c r="AI561" s="55"/>
      <c r="AJ561" s="55"/>
      <c r="AK561" s="55"/>
      <c r="AL561" s="8">
        <f>+'Gov Rev'!AI561-'Gov Exp'!AE561+'Gov Exp'!AI561-'Gov Exp'!AK561</f>
        <v>-2105</v>
      </c>
      <c r="AM561" s="6" t="str">
        <f>'Gov Rev'!A561</f>
        <v>Sinking Spring</v>
      </c>
      <c r="AN561" s="6" t="str">
        <f t="shared" si="25"/>
        <v>Sinking Spring</v>
      </c>
      <c r="AO561" s="6" t="b">
        <f t="shared" si="26"/>
        <v>1</v>
      </c>
    </row>
    <row r="562" spans="1:41" x14ac:dyDescent="0.2">
      <c r="A562" s="6" t="s">
        <v>552</v>
      </c>
      <c r="C562" s="6" t="s">
        <v>547</v>
      </c>
      <c r="E562" s="8">
        <v>314131</v>
      </c>
      <c r="G562" s="8">
        <v>16901</v>
      </c>
      <c r="I562" s="8">
        <v>61999</v>
      </c>
      <c r="K562" s="8">
        <v>4714</v>
      </c>
      <c r="M562" s="8">
        <v>3000</v>
      </c>
      <c r="O562" s="8">
        <v>176767</v>
      </c>
      <c r="Q562" s="8">
        <v>126460</v>
      </c>
      <c r="S562" s="8">
        <v>0</v>
      </c>
      <c r="U562" s="8">
        <v>1454</v>
      </c>
      <c r="W562" s="8">
        <v>0</v>
      </c>
      <c r="Y562" s="8">
        <v>122899</v>
      </c>
      <c r="AA562" s="8">
        <v>0</v>
      </c>
      <c r="AC562" s="8">
        <v>0</v>
      </c>
      <c r="AE562" s="8">
        <f t="shared" si="24"/>
        <v>828325</v>
      </c>
      <c r="AF562" s="8"/>
      <c r="AG562" s="55"/>
      <c r="AH562" s="55"/>
      <c r="AI562" s="55"/>
      <c r="AJ562" s="55"/>
      <c r="AK562" s="55"/>
      <c r="AL562" s="8">
        <f>+'Gov Rev'!AI562-'Gov Exp'!AE562+'Gov Exp'!AI562-'Gov Exp'!AK562</f>
        <v>110217</v>
      </c>
      <c r="AM562" s="6" t="str">
        <f>'Gov Rev'!A562</f>
        <v>Smithville</v>
      </c>
      <c r="AN562" s="6" t="str">
        <f t="shared" si="25"/>
        <v>Smithville</v>
      </c>
      <c r="AO562" s="6" t="b">
        <f t="shared" si="26"/>
        <v>1</v>
      </c>
    </row>
    <row r="563" spans="1:41" x14ac:dyDescent="0.2">
      <c r="A563" s="6" t="s">
        <v>809</v>
      </c>
      <c r="C563" s="6" t="s">
        <v>480</v>
      </c>
      <c r="E563" s="8">
        <v>13128.7</v>
      </c>
      <c r="G563" s="8">
        <v>71.53</v>
      </c>
      <c r="I563" s="8">
        <v>0</v>
      </c>
      <c r="K563" s="8">
        <v>0</v>
      </c>
      <c r="M563" s="8">
        <v>0</v>
      </c>
      <c r="O563" s="8">
        <v>129292.16</v>
      </c>
      <c r="Q563" s="8">
        <v>20893.810000000001</v>
      </c>
      <c r="S563" s="8">
        <v>1951.71</v>
      </c>
      <c r="U563" s="8">
        <v>0</v>
      </c>
      <c r="W563" s="8">
        <v>0</v>
      </c>
      <c r="Y563" s="8">
        <v>0</v>
      </c>
      <c r="AA563" s="8">
        <v>0</v>
      </c>
      <c r="AC563" s="8">
        <v>0</v>
      </c>
      <c r="AE563" s="8">
        <f t="shared" si="24"/>
        <v>165337.91</v>
      </c>
      <c r="AF563" s="8"/>
      <c r="AG563" s="55">
        <v>-14141.63</v>
      </c>
      <c r="AH563" s="55"/>
      <c r="AI563" s="55">
        <v>28543.54</v>
      </c>
      <c r="AJ563" s="55"/>
      <c r="AK563" s="55">
        <v>14401.91</v>
      </c>
      <c r="AL563" s="8">
        <f>+'Gov Rev'!AI563-'Gov Exp'!AE563+'Gov Exp'!AI563-'Gov Exp'!AK563</f>
        <v>0</v>
      </c>
      <c r="AM563" s="6" t="str">
        <f>'Gov Rev'!A563</f>
        <v>Somerville</v>
      </c>
      <c r="AN563" s="6" t="str">
        <f t="shared" si="25"/>
        <v>Somerville</v>
      </c>
      <c r="AO563" s="6" t="b">
        <f t="shared" si="26"/>
        <v>1</v>
      </c>
    </row>
    <row r="564" spans="1:41" x14ac:dyDescent="0.2">
      <c r="A564" s="6" t="s">
        <v>250</v>
      </c>
      <c r="C564" s="6" t="s">
        <v>467</v>
      </c>
      <c r="E564" s="8">
        <v>286294.12</v>
      </c>
      <c r="G564" s="8">
        <v>0</v>
      </c>
      <c r="I564" s="8">
        <v>365.11</v>
      </c>
      <c r="K564" s="8">
        <v>3498.16</v>
      </c>
      <c r="M564" s="8">
        <v>114093.63</v>
      </c>
      <c r="O564" s="8">
        <v>78307.72</v>
      </c>
      <c r="Q564" s="8">
        <v>170366.27</v>
      </c>
      <c r="S564" s="8">
        <v>0</v>
      </c>
      <c r="U564" s="8">
        <v>0</v>
      </c>
      <c r="W564" s="8">
        <v>0</v>
      </c>
      <c r="Y564" s="8">
        <v>0</v>
      </c>
      <c r="AA564" s="8">
        <v>0</v>
      </c>
      <c r="AC564" s="8">
        <v>723</v>
      </c>
      <c r="AE564" s="8">
        <f t="shared" si="24"/>
        <v>653648.01</v>
      </c>
      <c r="AF564" s="8"/>
      <c r="AG564" s="55">
        <v>63143</v>
      </c>
      <c r="AH564" s="55"/>
      <c r="AI564" s="55">
        <v>191148.29</v>
      </c>
      <c r="AJ564" s="55"/>
      <c r="AK564" s="55">
        <v>254291.29</v>
      </c>
      <c r="AL564" s="8">
        <f>+'Gov Rev'!AI564-'Gov Exp'!AE564+'Gov Exp'!AI564-'Gov Exp'!AK564</f>
        <v>0</v>
      </c>
      <c r="AM564" s="6" t="str">
        <f>'Gov Rev'!A564</f>
        <v>South Bloomfield</v>
      </c>
      <c r="AN564" s="6" t="str">
        <f t="shared" si="25"/>
        <v>South Bloomfield</v>
      </c>
      <c r="AO564" s="6" t="b">
        <f t="shared" si="26"/>
        <v>1</v>
      </c>
    </row>
    <row r="565" spans="1:41" x14ac:dyDescent="0.2">
      <c r="A565" s="6" t="s">
        <v>704</v>
      </c>
      <c r="C565" s="6" t="s">
        <v>274</v>
      </c>
      <c r="E565" s="8">
        <v>172917.43</v>
      </c>
      <c r="G565" s="8">
        <v>8918.56</v>
      </c>
      <c r="I565" s="8">
        <v>0</v>
      </c>
      <c r="K565" s="8">
        <v>0</v>
      </c>
      <c r="M565" s="8">
        <v>0</v>
      </c>
      <c r="O565" s="8">
        <v>26229.55</v>
      </c>
      <c r="Q565" s="8">
        <v>389591.91</v>
      </c>
      <c r="S565" s="8">
        <v>115551.54</v>
      </c>
      <c r="U565" s="8">
        <v>9648.26</v>
      </c>
      <c r="W565" s="8">
        <v>95.48</v>
      </c>
      <c r="Y565" s="8">
        <v>0</v>
      </c>
      <c r="AA565" s="8">
        <v>0</v>
      </c>
      <c r="AC565" s="8">
        <v>1100</v>
      </c>
      <c r="AE565" s="8">
        <f t="shared" si="24"/>
        <v>724052.73</v>
      </c>
      <c r="AF565" s="8"/>
      <c r="AG565" s="55">
        <v>162814.6</v>
      </c>
      <c r="AH565" s="55"/>
      <c r="AI565" s="55">
        <v>395279.1</v>
      </c>
      <c r="AJ565" s="55"/>
      <c r="AK565" s="55">
        <v>558093.69999999995</v>
      </c>
      <c r="AL565" s="8">
        <f>+'Gov Rev'!AI565-'Gov Exp'!AE565+'Gov Exp'!AI565-'Gov Exp'!AK565</f>
        <v>0</v>
      </c>
      <c r="AM565" s="6" t="str">
        <f>'Gov Rev'!A565</f>
        <v>South Charleston</v>
      </c>
      <c r="AN565" s="6" t="str">
        <f t="shared" si="25"/>
        <v>South Charleston</v>
      </c>
      <c r="AO565" s="6" t="b">
        <f t="shared" si="26"/>
        <v>1</v>
      </c>
    </row>
    <row r="566" spans="1:41" x14ac:dyDescent="0.2">
      <c r="A566" s="6" t="s">
        <v>542</v>
      </c>
      <c r="C566" s="6" t="s">
        <v>541</v>
      </c>
      <c r="E566" s="8">
        <v>625245.01</v>
      </c>
      <c r="G566" s="8">
        <v>0</v>
      </c>
      <c r="I566" s="8">
        <v>56511.23</v>
      </c>
      <c r="K566" s="8">
        <v>585032.06000000006</v>
      </c>
      <c r="M566" s="8">
        <v>68586.460000000006</v>
      </c>
      <c r="O566" s="8">
        <v>106795.14</v>
      </c>
      <c r="Q566" s="8">
        <v>584336.06999999995</v>
      </c>
      <c r="S566" s="8">
        <v>78178.8</v>
      </c>
      <c r="U566" s="8">
        <v>0</v>
      </c>
      <c r="W566" s="8">
        <v>0</v>
      </c>
      <c r="Y566" s="8">
        <v>0</v>
      </c>
      <c r="AA566" s="8">
        <v>0</v>
      </c>
      <c r="AC566" s="8">
        <v>37394.25</v>
      </c>
      <c r="AE566" s="8">
        <f t="shared" si="24"/>
        <v>2142079.0199999996</v>
      </c>
      <c r="AF566" s="8"/>
      <c r="AG566" s="55">
        <v>-92340.72</v>
      </c>
      <c r="AH566" s="55"/>
      <c r="AI566" s="55">
        <v>2658556.42</v>
      </c>
      <c r="AJ566" s="55"/>
      <c r="AK566" s="55">
        <v>2566215.7000000002</v>
      </c>
      <c r="AL566" s="8">
        <f>+'Gov Rev'!AI566-'Gov Exp'!AE566+'Gov Exp'!AI566-'Gov Exp'!AK566</f>
        <v>0</v>
      </c>
      <c r="AM566" s="6" t="str">
        <f>'Gov Rev'!A566</f>
        <v>South Lebanon</v>
      </c>
      <c r="AN566" s="6" t="str">
        <f t="shared" si="25"/>
        <v>South Lebanon</v>
      </c>
      <c r="AO566" s="6" t="b">
        <f t="shared" si="26"/>
        <v>1</v>
      </c>
    </row>
    <row r="567" spans="1:41" x14ac:dyDescent="0.2">
      <c r="A567" s="6" t="s">
        <v>120</v>
      </c>
      <c r="C567" s="6" t="s">
        <v>406</v>
      </c>
      <c r="E567" s="8">
        <v>361209.45</v>
      </c>
      <c r="G567" s="8">
        <v>0</v>
      </c>
      <c r="I567" s="8">
        <v>0</v>
      </c>
      <c r="K567" s="8">
        <v>0</v>
      </c>
      <c r="M567" s="8">
        <v>0</v>
      </c>
      <c r="O567" s="8">
        <v>206598.85</v>
      </c>
      <c r="Q567" s="8">
        <v>71450.320000000007</v>
      </c>
      <c r="S567" s="8">
        <v>9772.2999999999993</v>
      </c>
      <c r="U567" s="8">
        <v>17341</v>
      </c>
      <c r="W567" s="8">
        <v>4559</v>
      </c>
      <c r="Y567" s="8">
        <v>28620</v>
      </c>
      <c r="AA567" s="8">
        <v>5000</v>
      </c>
      <c r="AC567" s="8">
        <v>0</v>
      </c>
      <c r="AE567" s="8">
        <f t="shared" si="24"/>
        <v>704550.92000000016</v>
      </c>
      <c r="AF567" s="8"/>
      <c r="AG567" s="55">
        <v>142140.76</v>
      </c>
      <c r="AH567" s="55"/>
      <c r="AI567" s="55">
        <v>377035.26</v>
      </c>
      <c r="AJ567" s="55"/>
      <c r="AK567" s="55">
        <v>519176.02</v>
      </c>
      <c r="AL567" s="8">
        <f>+'Gov Rev'!AI567-'Gov Exp'!AE567+'Gov Exp'!AI567-'Gov Exp'!AK567</f>
        <v>0</v>
      </c>
      <c r="AM567" s="6" t="str">
        <f>'Gov Rev'!A567</f>
        <v>South Point</v>
      </c>
      <c r="AN567" s="6" t="str">
        <f t="shared" si="25"/>
        <v>South Point</v>
      </c>
      <c r="AO567" s="6" t="b">
        <f t="shared" si="26"/>
        <v>1</v>
      </c>
    </row>
    <row r="568" spans="1:41" x14ac:dyDescent="0.2">
      <c r="A568" s="6" t="s">
        <v>343</v>
      </c>
      <c r="C568" s="6" t="s">
        <v>342</v>
      </c>
      <c r="E568" s="8">
        <v>1539546</v>
      </c>
      <c r="G568" s="8">
        <v>1252</v>
      </c>
      <c r="I568" s="8">
        <v>0</v>
      </c>
      <c r="K568" s="8">
        <v>208622</v>
      </c>
      <c r="M568" s="8">
        <v>0</v>
      </c>
      <c r="O568" s="8">
        <v>403072</v>
      </c>
      <c r="Q568" s="8">
        <v>982254</v>
      </c>
      <c r="S568" s="8">
        <v>157732</v>
      </c>
      <c r="U568" s="8">
        <v>0</v>
      </c>
      <c r="W568" s="8">
        <v>0</v>
      </c>
      <c r="Y568" s="8">
        <v>1251400</v>
      </c>
      <c r="AA568" s="8">
        <v>0</v>
      </c>
      <c r="AC568" s="8">
        <v>0</v>
      </c>
      <c r="AE568" s="8">
        <f t="shared" si="24"/>
        <v>4543878</v>
      </c>
      <c r="AF568" s="8"/>
      <c r="AG568" s="55"/>
      <c r="AH568" s="55"/>
      <c r="AI568" s="55"/>
      <c r="AJ568" s="55"/>
      <c r="AK568" s="55"/>
      <c r="AL568" s="8">
        <f>+'Gov Rev'!AI568-'Gov Exp'!AE568+'Gov Exp'!AI568-'Gov Exp'!AK568</f>
        <v>234362</v>
      </c>
      <c r="AM568" s="6" t="str">
        <f>'Gov Rev'!A568</f>
        <v>South Russell</v>
      </c>
      <c r="AN568" s="6" t="str">
        <f t="shared" si="25"/>
        <v>South Russell</v>
      </c>
      <c r="AO568" s="6" t="b">
        <f t="shared" si="26"/>
        <v>1</v>
      </c>
    </row>
    <row r="569" spans="1:41" x14ac:dyDescent="0.2">
      <c r="A569" s="6" t="s">
        <v>484</v>
      </c>
      <c r="C569" s="6" t="s">
        <v>485</v>
      </c>
      <c r="E569" s="8">
        <v>5813.89</v>
      </c>
      <c r="G569" s="8">
        <v>0</v>
      </c>
      <c r="I569" s="8">
        <v>0</v>
      </c>
      <c r="K569" s="8">
        <v>0</v>
      </c>
      <c r="M569" s="8">
        <v>0</v>
      </c>
      <c r="O569" s="8">
        <v>3759.96</v>
      </c>
      <c r="Q569" s="8">
        <v>8753.02</v>
      </c>
      <c r="S569" s="8">
        <v>0</v>
      </c>
      <c r="U569" s="8">
        <v>0</v>
      </c>
      <c r="W569" s="8">
        <v>0</v>
      </c>
      <c r="Y569" s="8">
        <v>0</v>
      </c>
      <c r="AA569" s="8">
        <v>0</v>
      </c>
      <c r="AC569" s="8">
        <v>0</v>
      </c>
      <c r="AE569" s="8">
        <f t="shared" si="24"/>
        <v>18326.870000000003</v>
      </c>
      <c r="AF569" s="8"/>
      <c r="AG569" s="55">
        <v>7019.19</v>
      </c>
      <c r="AH569" s="55"/>
      <c r="AI569" s="55">
        <v>123815.59</v>
      </c>
      <c r="AJ569" s="55"/>
      <c r="AK569" s="55">
        <v>130834.78</v>
      </c>
      <c r="AL569" s="8">
        <f>+'Gov Rev'!AI569-'Gov Exp'!AE569+'Gov Exp'!AI569-'Gov Exp'!AK569</f>
        <v>0</v>
      </c>
      <c r="AM569" s="6" t="str">
        <f>'Gov Rev'!A569</f>
        <v>South Salem</v>
      </c>
      <c r="AN569" s="6" t="str">
        <f t="shared" si="25"/>
        <v>South Salem</v>
      </c>
      <c r="AO569" s="6" t="b">
        <f t="shared" si="26"/>
        <v>1</v>
      </c>
    </row>
    <row r="570" spans="1:41" x14ac:dyDescent="0.2">
      <c r="A570" s="6" t="s">
        <v>133</v>
      </c>
      <c r="C570" s="6" t="s">
        <v>401</v>
      </c>
      <c r="E570" s="8">
        <v>6372.3</v>
      </c>
      <c r="G570" s="8">
        <v>0</v>
      </c>
      <c r="I570" s="8">
        <v>200</v>
      </c>
      <c r="K570" s="8">
        <v>0</v>
      </c>
      <c r="M570" s="8">
        <v>0</v>
      </c>
      <c r="O570" s="8">
        <v>18749.64</v>
      </c>
      <c r="Q570" s="8">
        <v>36866.089999999997</v>
      </c>
      <c r="S570" s="8">
        <v>1603.61</v>
      </c>
      <c r="U570" s="8">
        <v>0</v>
      </c>
      <c r="W570" s="8">
        <v>0</v>
      </c>
      <c r="Y570" s="8">
        <v>0</v>
      </c>
      <c r="AA570" s="8">
        <v>0</v>
      </c>
      <c r="AC570" s="8">
        <v>0</v>
      </c>
      <c r="AE570" s="8">
        <f t="shared" si="24"/>
        <v>63791.64</v>
      </c>
      <c r="AF570" s="8"/>
      <c r="AG570" s="55">
        <v>-14158.99</v>
      </c>
      <c r="AH570" s="55"/>
      <c r="AI570" s="55">
        <v>41517.449999999997</v>
      </c>
      <c r="AJ570" s="55"/>
      <c r="AK570" s="55">
        <v>27358.46</v>
      </c>
      <c r="AL570" s="8">
        <f>+'Gov Rev'!AI570-'Gov Exp'!AE570+'Gov Exp'!AI570-'Gov Exp'!AK570</f>
        <v>0</v>
      </c>
      <c r="AM570" s="6" t="str">
        <f>'Gov Rev'!A570</f>
        <v>South Solon</v>
      </c>
      <c r="AN570" s="6" t="str">
        <f t="shared" si="25"/>
        <v>South Solon</v>
      </c>
      <c r="AO570" s="6" t="b">
        <f t="shared" si="26"/>
        <v>1</v>
      </c>
    </row>
    <row r="571" spans="1:41" x14ac:dyDescent="0.2">
      <c r="A571" s="6" t="s">
        <v>34</v>
      </c>
      <c r="C571" s="6" t="s">
        <v>274</v>
      </c>
      <c r="E571" s="8">
        <v>75161.820000000007</v>
      </c>
      <c r="G571" s="8">
        <v>0</v>
      </c>
      <c r="I571" s="8">
        <v>1828.37</v>
      </c>
      <c r="K571" s="8">
        <v>0</v>
      </c>
      <c r="M571" s="8">
        <v>2697.4</v>
      </c>
      <c r="O571" s="8">
        <v>9927.65</v>
      </c>
      <c r="Q571" s="8">
        <v>54551.91</v>
      </c>
      <c r="S571" s="8">
        <v>7107.3</v>
      </c>
      <c r="U571" s="8">
        <v>0</v>
      </c>
      <c r="W571" s="8">
        <v>0</v>
      </c>
      <c r="Y571" s="8">
        <v>0</v>
      </c>
      <c r="AA571" s="8">
        <v>0</v>
      </c>
      <c r="AC571" s="8">
        <v>0</v>
      </c>
      <c r="AE571" s="8">
        <f t="shared" si="24"/>
        <v>151274.44999999998</v>
      </c>
      <c r="AF571" s="8"/>
      <c r="AG571" s="55">
        <v>-63699.97</v>
      </c>
      <c r="AH571" s="55"/>
      <c r="AI571" s="55">
        <v>415807.06</v>
      </c>
      <c r="AJ571" s="55"/>
      <c r="AK571" s="55">
        <v>352107.09</v>
      </c>
      <c r="AL571" s="8">
        <f>+'Gov Rev'!AI571-'Gov Exp'!AE571+'Gov Exp'!AI571-'Gov Exp'!AK571</f>
        <v>0</v>
      </c>
      <c r="AM571" s="6" t="str">
        <f>'Gov Rev'!A571</f>
        <v>South Vienna</v>
      </c>
      <c r="AN571" s="6" t="str">
        <f t="shared" si="25"/>
        <v>South Vienna</v>
      </c>
      <c r="AO571" s="6" t="b">
        <f t="shared" si="26"/>
        <v>1</v>
      </c>
    </row>
    <row r="572" spans="1:41" x14ac:dyDescent="0.2">
      <c r="A572" s="6" t="s">
        <v>202</v>
      </c>
      <c r="C572" s="6" t="s">
        <v>491</v>
      </c>
      <c r="E572" s="8">
        <v>13665.76</v>
      </c>
      <c r="G572" s="8">
        <v>50</v>
      </c>
      <c r="I572" s="8">
        <v>332.51</v>
      </c>
      <c r="K572" s="8">
        <v>0</v>
      </c>
      <c r="M572" s="8">
        <v>4325.6000000000004</v>
      </c>
      <c r="O572" s="8">
        <v>29942.16</v>
      </c>
      <c r="Q572" s="8">
        <v>17560.09</v>
      </c>
      <c r="S572" s="8">
        <v>0</v>
      </c>
      <c r="U572" s="8">
        <v>0</v>
      </c>
      <c r="W572" s="8">
        <v>0</v>
      </c>
      <c r="Y572" s="8">
        <v>0</v>
      </c>
      <c r="AA572" s="8">
        <v>0</v>
      </c>
      <c r="AC572" s="8">
        <v>0</v>
      </c>
      <c r="AE572" s="8">
        <f t="shared" si="24"/>
        <v>65876.12</v>
      </c>
      <c r="AF572" s="8"/>
      <c r="AG572" s="55">
        <v>6924.42</v>
      </c>
      <c r="AH572" s="55"/>
      <c r="AI572" s="55">
        <v>127285.01</v>
      </c>
      <c r="AJ572" s="55"/>
      <c r="AK572" s="55">
        <v>134209.43</v>
      </c>
      <c r="AL572" s="8">
        <f>+'Gov Rev'!AI572-'Gov Exp'!AE572+'Gov Exp'!AI572-'Gov Exp'!AK572</f>
        <v>0</v>
      </c>
      <c r="AM572" s="6" t="str">
        <f>'Gov Rev'!A572</f>
        <v>South Webster</v>
      </c>
      <c r="AN572" s="6" t="str">
        <f t="shared" si="25"/>
        <v>South Webster</v>
      </c>
      <c r="AO572" s="6" t="b">
        <f t="shared" si="26"/>
        <v>1</v>
      </c>
    </row>
    <row r="573" spans="1:41" x14ac:dyDescent="0.2">
      <c r="A573" s="6" t="s">
        <v>855</v>
      </c>
      <c r="C573" s="6" t="s">
        <v>450</v>
      </c>
      <c r="E573" s="8">
        <v>224755.02</v>
      </c>
      <c r="G573" s="8">
        <v>0</v>
      </c>
      <c r="I573" s="8">
        <v>32010.62</v>
      </c>
      <c r="K573" s="8">
        <v>0</v>
      </c>
      <c r="M573" s="8">
        <v>0</v>
      </c>
      <c r="O573" s="8">
        <v>86022.18</v>
      </c>
      <c r="Q573" s="8">
        <v>160832.91</v>
      </c>
      <c r="S573" s="8">
        <v>219666.46</v>
      </c>
      <c r="U573" s="8">
        <v>110705.42</v>
      </c>
      <c r="W573" s="8">
        <v>23395.03</v>
      </c>
      <c r="Y573" s="8">
        <v>119545.63</v>
      </c>
      <c r="AA573" s="8">
        <v>0</v>
      </c>
      <c r="AC573" s="8">
        <v>0</v>
      </c>
      <c r="AE573" s="8">
        <f t="shared" si="24"/>
        <v>976933.27</v>
      </c>
      <c r="AF573" s="8"/>
      <c r="AG573" s="55">
        <v>55045.57</v>
      </c>
      <c r="AH573" s="55"/>
      <c r="AI573" s="55">
        <v>211631.28</v>
      </c>
      <c r="AJ573" s="55"/>
      <c r="AK573" s="55">
        <v>266676.84999999998</v>
      </c>
      <c r="AL573" s="8">
        <f>+'Gov Rev'!AI573-'Gov Exp'!AE573+'Gov Exp'!AI573-'Gov Exp'!AK573</f>
        <v>0</v>
      </c>
      <c r="AM573" s="6" t="str">
        <f>'Gov Rev'!A573</f>
        <v>South Zanesville</v>
      </c>
      <c r="AN573" s="6" t="str">
        <f t="shared" si="25"/>
        <v>South Zanesville</v>
      </c>
      <c r="AO573" s="6" t="b">
        <f t="shared" si="26"/>
        <v>1</v>
      </c>
    </row>
    <row r="574" spans="1:41" x14ac:dyDescent="0.2">
      <c r="A574" s="6" t="s">
        <v>710</v>
      </c>
      <c r="C574" s="6" t="s">
        <v>226</v>
      </c>
      <c r="E574" s="8">
        <v>3603.43</v>
      </c>
      <c r="G574" s="8">
        <v>0</v>
      </c>
      <c r="I574" s="8">
        <v>0</v>
      </c>
      <c r="K574" s="8">
        <v>0</v>
      </c>
      <c r="M574" s="8">
        <v>0</v>
      </c>
      <c r="O574" s="8">
        <v>6005.73</v>
      </c>
      <c r="Q574" s="8">
        <v>17200.78</v>
      </c>
      <c r="S574" s="8">
        <v>0</v>
      </c>
      <c r="U574" s="8">
        <v>0</v>
      </c>
      <c r="W574" s="8">
        <v>0</v>
      </c>
      <c r="Y574" s="8">
        <v>0</v>
      </c>
      <c r="AA574" s="8">
        <v>0</v>
      </c>
      <c r="AC574" s="8">
        <v>0</v>
      </c>
      <c r="AE574" s="8">
        <f t="shared" si="24"/>
        <v>26809.94</v>
      </c>
      <c r="AF574" s="8"/>
      <c r="AG574" s="55">
        <v>17745.38</v>
      </c>
      <c r="AH574" s="55"/>
      <c r="AI574" s="55">
        <v>65090.73</v>
      </c>
      <c r="AJ574" s="55"/>
      <c r="AK574" s="55">
        <v>82836.11</v>
      </c>
      <c r="AL574" s="8">
        <f>+'Gov Rev'!AI574-'Gov Exp'!AE574+'Gov Exp'!AI574-'Gov Exp'!AK574</f>
        <v>0</v>
      </c>
      <c r="AM574" s="6" t="str">
        <f>'Gov Rev'!A574</f>
        <v>Sparta</v>
      </c>
      <c r="AN574" s="6" t="str">
        <f t="shared" si="25"/>
        <v>Sparta</v>
      </c>
      <c r="AO574" s="6" t="b">
        <f t="shared" si="26"/>
        <v>1</v>
      </c>
    </row>
    <row r="575" spans="1:41" x14ac:dyDescent="0.2">
      <c r="A575" s="6" t="s">
        <v>726</v>
      </c>
      <c r="C575" s="6" t="s">
        <v>823</v>
      </c>
      <c r="E575" s="8">
        <v>179591.65</v>
      </c>
      <c r="G575" s="8">
        <v>0</v>
      </c>
      <c r="I575" s="8">
        <v>24158.35</v>
      </c>
      <c r="K575" s="8">
        <v>2770.8</v>
      </c>
      <c r="M575" s="8">
        <v>1039.92</v>
      </c>
      <c r="O575" s="8">
        <v>72708.320000000007</v>
      </c>
      <c r="Q575" s="8">
        <v>242876.25</v>
      </c>
      <c r="S575" s="8">
        <v>0</v>
      </c>
      <c r="U575" s="8">
        <v>0</v>
      </c>
      <c r="W575" s="8">
        <v>0</v>
      </c>
      <c r="Y575" s="8">
        <v>80000</v>
      </c>
      <c r="AA575" s="8">
        <v>0</v>
      </c>
      <c r="AC575" s="8">
        <v>9020</v>
      </c>
      <c r="AE575" s="8">
        <f t="shared" si="24"/>
        <v>612165.29</v>
      </c>
      <c r="AF575" s="8"/>
      <c r="AG575" s="55">
        <v>-25104.080000000002</v>
      </c>
      <c r="AH575" s="55"/>
      <c r="AI575" s="55">
        <v>538421.82999999996</v>
      </c>
      <c r="AJ575" s="55"/>
      <c r="AK575" s="55">
        <v>513317.75</v>
      </c>
      <c r="AL575" s="8">
        <f>+'Gov Rev'!AI575-'Gov Exp'!AE575+'Gov Exp'!AI575-'Gov Exp'!AK575</f>
        <v>0</v>
      </c>
      <c r="AM575" s="6" t="str">
        <f>'Gov Rev'!A575</f>
        <v>Spencer</v>
      </c>
      <c r="AN575" s="6" t="str">
        <f t="shared" si="25"/>
        <v>Spencer</v>
      </c>
      <c r="AO575" s="6" t="b">
        <f t="shared" si="26"/>
        <v>1</v>
      </c>
    </row>
    <row r="576" spans="1:41" x14ac:dyDescent="0.2">
      <c r="A576" s="6" t="s">
        <v>6</v>
      </c>
      <c r="C576" s="6" t="s">
        <v>651</v>
      </c>
      <c r="E576" s="8">
        <v>356282.06</v>
      </c>
      <c r="G576" s="8">
        <v>5070.79</v>
      </c>
      <c r="I576" s="8">
        <v>2397.81</v>
      </c>
      <c r="K576" s="8">
        <v>4000</v>
      </c>
      <c r="M576" s="8">
        <v>0</v>
      </c>
      <c r="O576" s="8">
        <v>144449.1</v>
      </c>
      <c r="Q576" s="8">
        <v>110667.06</v>
      </c>
      <c r="S576" s="8">
        <v>99926.56</v>
      </c>
      <c r="U576" s="8">
        <v>66492.5</v>
      </c>
      <c r="W576" s="8">
        <v>13321.25</v>
      </c>
      <c r="Y576" s="8">
        <v>413887.92</v>
      </c>
      <c r="AA576" s="8">
        <v>0</v>
      </c>
      <c r="AC576" s="8">
        <v>0</v>
      </c>
      <c r="AE576" s="8">
        <f t="shared" si="24"/>
        <v>1216495.05</v>
      </c>
      <c r="AF576" s="8"/>
      <c r="AG576" s="55">
        <v>-34905.32</v>
      </c>
      <c r="AH576" s="55"/>
      <c r="AI576" s="55">
        <v>693990.99</v>
      </c>
      <c r="AJ576" s="55"/>
      <c r="AK576" s="55">
        <v>659085.67000000004</v>
      </c>
      <c r="AL576" s="8">
        <f>+'Gov Rev'!AI576-'Gov Exp'!AE576+'Gov Exp'!AI576-'Gov Exp'!AK576</f>
        <v>0</v>
      </c>
      <c r="AM576" s="6" t="str">
        <f>'Gov Rev'!A576</f>
        <v>Spencerville</v>
      </c>
      <c r="AN576" s="6" t="str">
        <f t="shared" si="25"/>
        <v>Spencerville</v>
      </c>
      <c r="AO576" s="6" t="b">
        <f t="shared" si="26"/>
        <v>1</v>
      </c>
    </row>
    <row r="577" spans="1:41" x14ac:dyDescent="0.2">
      <c r="A577" s="6" t="s">
        <v>80</v>
      </c>
      <c r="C577" s="6" t="s">
        <v>345</v>
      </c>
      <c r="E577" s="8">
        <v>17461.18</v>
      </c>
      <c r="G577" s="8">
        <v>1006.46</v>
      </c>
      <c r="I577" s="8">
        <v>0</v>
      </c>
      <c r="K577" s="8">
        <v>461.8</v>
      </c>
      <c r="M577" s="8">
        <v>4890.55</v>
      </c>
      <c r="O577" s="8">
        <v>620369.1</v>
      </c>
      <c r="Q577" s="8">
        <v>29650.05</v>
      </c>
      <c r="S577" s="8">
        <v>0</v>
      </c>
      <c r="U577" s="8">
        <v>0</v>
      </c>
      <c r="W577" s="8">
        <v>0</v>
      </c>
      <c r="Y577" s="8">
        <v>0</v>
      </c>
      <c r="AA577" s="8">
        <v>0</v>
      </c>
      <c r="AC577" s="8">
        <v>0</v>
      </c>
      <c r="AE577" s="8">
        <f t="shared" si="24"/>
        <v>673839.14</v>
      </c>
      <c r="AF577" s="8"/>
      <c r="AG577" s="55">
        <v>33209.97</v>
      </c>
      <c r="AH577" s="55"/>
      <c r="AI577" s="55">
        <v>191157.75</v>
      </c>
      <c r="AJ577" s="55"/>
      <c r="AK577" s="55">
        <v>224367.72</v>
      </c>
      <c r="AL577" s="8">
        <f>+'Gov Rev'!AI577-'Gov Exp'!AE577+'Gov Exp'!AI577-'Gov Exp'!AK577</f>
        <v>0</v>
      </c>
      <c r="AM577" s="6" t="str">
        <f>'Gov Rev'!A577</f>
        <v>Spring Valley</v>
      </c>
      <c r="AN577" s="6" t="str">
        <f t="shared" si="25"/>
        <v>Spring Valley</v>
      </c>
      <c r="AO577" s="6" t="b">
        <f t="shared" si="26"/>
        <v>1</v>
      </c>
    </row>
    <row r="578" spans="1:41" ht="12.75" x14ac:dyDescent="0.2">
      <c r="A578" s="6" t="s">
        <v>837</v>
      </c>
      <c r="C578" s="6" t="s">
        <v>351</v>
      </c>
      <c r="D578" s="11"/>
      <c r="E578" s="8">
        <v>4728484</v>
      </c>
      <c r="G578" s="8">
        <v>51292</v>
      </c>
      <c r="I578" s="8">
        <v>334508</v>
      </c>
      <c r="K578" s="8">
        <v>79565</v>
      </c>
      <c r="M578" s="8">
        <v>0</v>
      </c>
      <c r="O578" s="8">
        <v>733542</v>
      </c>
      <c r="Q578" s="8">
        <f>4503882+1959958</f>
        <v>6463840</v>
      </c>
      <c r="S578" s="8">
        <v>5313839</v>
      </c>
      <c r="U578" s="8">
        <v>2247370</v>
      </c>
      <c r="W578" s="8">
        <v>1137419</v>
      </c>
      <c r="Y578" s="8">
        <v>1025000</v>
      </c>
      <c r="AA578" s="8">
        <v>0</v>
      </c>
      <c r="AC578" s="8">
        <v>0</v>
      </c>
      <c r="AE578" s="8">
        <f t="shared" si="24"/>
        <v>22114859</v>
      </c>
      <c r="AF578" s="8"/>
      <c r="AG578" s="55"/>
      <c r="AH578" s="55"/>
      <c r="AI578" s="55"/>
      <c r="AJ578" s="55"/>
      <c r="AK578" s="55"/>
      <c r="AL578" s="8">
        <f>+'Gov Rev'!AI578-'Gov Exp'!AE578+'Gov Exp'!AI578-'Gov Exp'!AK578</f>
        <v>11296381</v>
      </c>
      <c r="AM578" s="6" t="str">
        <f>'Gov Rev'!A578</f>
        <v>St. Bernard</v>
      </c>
      <c r="AN578" s="6" t="str">
        <f t="shared" si="25"/>
        <v>St. Bernard</v>
      </c>
      <c r="AO578" s="6" t="b">
        <f t="shared" si="26"/>
        <v>1</v>
      </c>
    </row>
    <row r="579" spans="1:41" x14ac:dyDescent="0.2">
      <c r="A579" s="6" t="s">
        <v>854</v>
      </c>
      <c r="C579" s="6" t="s">
        <v>433</v>
      </c>
      <c r="E579" s="8">
        <v>214390.1</v>
      </c>
      <c r="G579" s="8">
        <v>16300</v>
      </c>
      <c r="I579" s="8">
        <v>88636.81</v>
      </c>
      <c r="K579" s="8">
        <v>0</v>
      </c>
      <c r="M579" s="8">
        <v>0</v>
      </c>
      <c r="O579" s="8">
        <v>211508.89</v>
      </c>
      <c r="Q579" s="8">
        <v>299496.03999999998</v>
      </c>
      <c r="S579" s="8">
        <v>287253.40999999997</v>
      </c>
      <c r="U579" s="8">
        <v>53959.43</v>
      </c>
      <c r="W579" s="8">
        <v>2520.5700000000002</v>
      </c>
      <c r="Y579" s="8">
        <v>40000</v>
      </c>
      <c r="AA579" s="8">
        <v>0</v>
      </c>
      <c r="AC579" s="8">
        <v>0</v>
      </c>
      <c r="AE579" s="8">
        <f t="shared" si="24"/>
        <v>1214065.25</v>
      </c>
      <c r="AF579" s="8"/>
      <c r="AG579" s="55">
        <v>105956.4</v>
      </c>
      <c r="AH579" s="55"/>
      <c r="AI579" s="55">
        <v>1064074.55</v>
      </c>
      <c r="AJ579" s="55"/>
      <c r="AK579" s="55">
        <v>1170030.95</v>
      </c>
      <c r="AL579" s="8">
        <f>+'Gov Rev'!AI579-'Gov Exp'!AE579+'Gov Exp'!AI579-'Gov Exp'!AK579</f>
        <v>0</v>
      </c>
      <c r="AM579" s="6" t="str">
        <f>'Gov Rev'!A579</f>
        <v>St. Henry</v>
      </c>
      <c r="AN579" s="6" t="str">
        <f t="shared" si="25"/>
        <v>St. Henry</v>
      </c>
      <c r="AO579" s="6" t="b">
        <f t="shared" si="26"/>
        <v>1</v>
      </c>
    </row>
    <row r="580" spans="1:41" x14ac:dyDescent="0.2">
      <c r="A580" s="18" t="s">
        <v>412</v>
      </c>
      <c r="B580" s="18"/>
      <c r="C580" s="18" t="s">
        <v>408</v>
      </c>
      <c r="D580" s="18"/>
      <c r="E580" s="8">
        <v>32354</v>
      </c>
      <c r="G580" s="8">
        <v>728</v>
      </c>
      <c r="I580" s="8">
        <v>58612</v>
      </c>
      <c r="K580" s="8">
        <v>843</v>
      </c>
      <c r="M580" s="8">
        <v>0</v>
      </c>
      <c r="O580" s="8">
        <v>16866</v>
      </c>
      <c r="Q580" s="8">
        <v>39350</v>
      </c>
      <c r="S580" s="8">
        <v>0</v>
      </c>
      <c r="U580" s="8">
        <v>0</v>
      </c>
      <c r="W580" s="8">
        <v>0</v>
      </c>
      <c r="Y580" s="8">
        <v>0</v>
      </c>
      <c r="AA580" s="8">
        <v>0</v>
      </c>
      <c r="AC580" s="8">
        <v>0</v>
      </c>
      <c r="AE580" s="8">
        <f t="shared" si="24"/>
        <v>148753</v>
      </c>
      <c r="AF580" s="8"/>
      <c r="AG580" s="55"/>
      <c r="AH580" s="55"/>
      <c r="AI580" s="55"/>
      <c r="AJ580" s="55"/>
      <c r="AK580" s="55"/>
      <c r="AL580" s="8">
        <f>+'Gov Rev'!AI580-'Gov Exp'!AE580+'Gov Exp'!AI580-'Gov Exp'!AK580</f>
        <v>-3464</v>
      </c>
      <c r="AM580" s="6" t="str">
        <f>'Gov Rev'!A580</f>
        <v>St. Louisville</v>
      </c>
      <c r="AN580" s="6" t="str">
        <f t="shared" si="25"/>
        <v>St. Louisville</v>
      </c>
      <c r="AO580" s="6" t="b">
        <f t="shared" si="26"/>
        <v>1</v>
      </c>
    </row>
    <row r="581" spans="1:41" x14ac:dyDescent="0.2">
      <c r="A581" s="6" t="s">
        <v>32</v>
      </c>
      <c r="C581" s="6" t="s">
        <v>269</v>
      </c>
      <c r="E581" s="8">
        <v>259327.15</v>
      </c>
      <c r="G581" s="8">
        <v>0</v>
      </c>
      <c r="I581" s="8">
        <v>56921.63</v>
      </c>
      <c r="K581" s="8">
        <v>2633.17</v>
      </c>
      <c r="M581" s="8">
        <v>0</v>
      </c>
      <c r="O581" s="8">
        <v>79955.81</v>
      </c>
      <c r="Q581" s="8">
        <v>149162.01</v>
      </c>
      <c r="S581" s="8">
        <v>0</v>
      </c>
      <c r="U581" s="8">
        <v>3815</v>
      </c>
      <c r="W581" s="8">
        <v>0</v>
      </c>
      <c r="Y581" s="8">
        <v>0</v>
      </c>
      <c r="AA581" s="8">
        <v>0</v>
      </c>
      <c r="AC581" s="8">
        <v>0</v>
      </c>
      <c r="AE581" s="8">
        <f t="shared" si="24"/>
        <v>551814.77</v>
      </c>
      <c r="AF581" s="8"/>
      <c r="AG581" s="55">
        <v>112136.36</v>
      </c>
      <c r="AH581" s="55"/>
      <c r="AI581" s="55">
        <v>295003.63</v>
      </c>
      <c r="AJ581" s="55"/>
      <c r="AK581" s="55">
        <v>407139.99</v>
      </c>
      <c r="AL581" s="8">
        <f>+'Gov Rev'!AI581-'Gov Exp'!AE581+'Gov Exp'!AI581-'Gov Exp'!AK581</f>
        <v>0</v>
      </c>
      <c r="AM581" s="6" t="str">
        <f>'Gov Rev'!A581</f>
        <v>St. Paris</v>
      </c>
      <c r="AN581" s="6" t="str">
        <f t="shared" si="25"/>
        <v>St. Paris</v>
      </c>
      <c r="AO581" s="6" t="b">
        <f t="shared" si="26"/>
        <v>1</v>
      </c>
    </row>
    <row r="582" spans="1:41" x14ac:dyDescent="0.2">
      <c r="A582" s="6" t="s">
        <v>444</v>
      </c>
      <c r="C582" s="6" t="s">
        <v>441</v>
      </c>
      <c r="E582" s="8">
        <v>3371</v>
      </c>
      <c r="G582" s="8">
        <v>290</v>
      </c>
      <c r="I582" s="8">
        <v>0</v>
      </c>
      <c r="K582" s="8">
        <v>0</v>
      </c>
      <c r="M582" s="8">
        <v>0</v>
      </c>
      <c r="O582" s="8">
        <v>2900</v>
      </c>
      <c r="Q582" s="8">
        <v>3033</v>
      </c>
      <c r="S582" s="8">
        <v>0</v>
      </c>
      <c r="U582" s="8">
        <v>0</v>
      </c>
      <c r="W582" s="8">
        <v>0</v>
      </c>
      <c r="Y582" s="8">
        <v>0</v>
      </c>
      <c r="AA582" s="8">
        <v>0</v>
      </c>
      <c r="AC582" s="8">
        <v>0</v>
      </c>
      <c r="AE582" s="8">
        <f t="shared" si="24"/>
        <v>9594</v>
      </c>
      <c r="AF582" s="8"/>
      <c r="AG582" s="55"/>
      <c r="AH582" s="55"/>
      <c r="AI582" s="55"/>
      <c r="AJ582" s="55"/>
      <c r="AK582" s="55"/>
      <c r="AL582" s="8">
        <f>+'Gov Rev'!AI582-'Gov Exp'!AE582+'Gov Exp'!AI582-'Gov Exp'!AK582</f>
        <v>2854</v>
      </c>
      <c r="AM582" s="6" t="str">
        <f>'Gov Rev'!A582</f>
        <v>Stafford</v>
      </c>
      <c r="AN582" s="6" t="str">
        <f t="shared" si="25"/>
        <v>Stafford</v>
      </c>
      <c r="AO582" s="6" t="b">
        <f t="shared" si="26"/>
        <v>1</v>
      </c>
    </row>
    <row r="583" spans="1:41" x14ac:dyDescent="0.2">
      <c r="A583" s="6" t="s">
        <v>155</v>
      </c>
      <c r="C583" s="6" t="s">
        <v>765</v>
      </c>
      <c r="E583" s="8">
        <v>15380.68</v>
      </c>
      <c r="G583" s="8">
        <v>6152.09</v>
      </c>
      <c r="I583" s="8">
        <v>5711.09</v>
      </c>
      <c r="K583" s="8">
        <v>0</v>
      </c>
      <c r="M583" s="8">
        <v>380</v>
      </c>
      <c r="O583" s="8">
        <v>23863.9</v>
      </c>
      <c r="Q583" s="8">
        <v>38436.620000000003</v>
      </c>
      <c r="S583" s="8">
        <v>0</v>
      </c>
      <c r="U583" s="8">
        <v>2954.05</v>
      </c>
      <c r="W583" s="8">
        <v>623.80999999999995</v>
      </c>
      <c r="Y583" s="8">
        <v>0</v>
      </c>
      <c r="AA583" s="8">
        <v>0</v>
      </c>
      <c r="AC583" s="8">
        <v>0</v>
      </c>
      <c r="AE583" s="8">
        <f t="shared" si="24"/>
        <v>93502.24</v>
      </c>
      <c r="AF583" s="8"/>
      <c r="AG583" s="55">
        <v>-7769.12</v>
      </c>
      <c r="AH583" s="55"/>
      <c r="AI583" s="55">
        <v>63231.79</v>
      </c>
      <c r="AJ583" s="55"/>
      <c r="AK583" s="55">
        <v>55462.67</v>
      </c>
      <c r="AL583" s="8">
        <f>+'Gov Rev'!AI583-'Gov Exp'!AE583+'Gov Exp'!AI583-'Gov Exp'!AK583</f>
        <v>0</v>
      </c>
      <c r="AM583" s="6" t="str">
        <f>'Gov Rev'!A583</f>
        <v>Stockport</v>
      </c>
      <c r="AN583" s="6" t="str">
        <f t="shared" si="25"/>
        <v>Stockport</v>
      </c>
      <c r="AO583" s="6" t="b">
        <f t="shared" si="26"/>
        <v>1</v>
      </c>
    </row>
    <row r="584" spans="1:41" x14ac:dyDescent="0.2">
      <c r="A584" s="6" t="s">
        <v>527</v>
      </c>
      <c r="C584" s="6" t="s">
        <v>521</v>
      </c>
      <c r="E584" s="8">
        <v>5240.33</v>
      </c>
      <c r="G584" s="8">
        <v>519</v>
      </c>
      <c r="I584" s="8">
        <v>5667.92</v>
      </c>
      <c r="K584" s="8">
        <v>40</v>
      </c>
      <c r="M584" s="8">
        <v>0</v>
      </c>
      <c r="O584" s="8">
        <v>865.3</v>
      </c>
      <c r="Q584" s="8">
        <v>18721.14</v>
      </c>
      <c r="S584" s="8">
        <v>0</v>
      </c>
      <c r="U584" s="8">
        <v>0</v>
      </c>
      <c r="W584" s="8">
        <v>0</v>
      </c>
      <c r="Y584" s="8">
        <v>0</v>
      </c>
      <c r="AA584" s="8">
        <v>0</v>
      </c>
      <c r="AC584" s="8">
        <v>38.5</v>
      </c>
      <c r="AE584" s="8">
        <f t="shared" si="24"/>
        <v>31092.19</v>
      </c>
      <c r="AF584" s="8"/>
      <c r="AG584" s="55">
        <v>4302.05</v>
      </c>
      <c r="AH584" s="55"/>
      <c r="AI584" s="55">
        <v>25933.53</v>
      </c>
      <c r="AJ584" s="55"/>
      <c r="AK584" s="55">
        <v>30235.58</v>
      </c>
      <c r="AL584" s="8">
        <f>+'Gov Rev'!AI584-'Gov Exp'!AE584+'Gov Exp'!AI584-'Gov Exp'!AK584</f>
        <v>0</v>
      </c>
      <c r="AM584" s="6" t="str">
        <f>'Gov Rev'!A584</f>
        <v>Stone Creek</v>
      </c>
      <c r="AN584" s="6" t="str">
        <f t="shared" si="25"/>
        <v>Stone Creek</v>
      </c>
      <c r="AO584" s="6" t="b">
        <f t="shared" si="26"/>
        <v>1</v>
      </c>
    </row>
    <row r="585" spans="1:41" x14ac:dyDescent="0.2">
      <c r="A585" s="6" t="s">
        <v>810</v>
      </c>
      <c r="C585" s="6" t="s">
        <v>327</v>
      </c>
      <c r="E585" s="8">
        <v>7054.98</v>
      </c>
      <c r="G585" s="8">
        <v>0</v>
      </c>
      <c r="I585" s="8">
        <v>5494.91</v>
      </c>
      <c r="K585" s="8">
        <v>0</v>
      </c>
      <c r="M585" s="8">
        <v>0</v>
      </c>
      <c r="O585" s="8">
        <v>9781.69</v>
      </c>
      <c r="Q585" s="8">
        <v>38390.620000000003</v>
      </c>
      <c r="S585" s="8">
        <v>0</v>
      </c>
      <c r="U585" s="8">
        <v>3341.87</v>
      </c>
      <c r="W585" s="8">
        <v>1044.0899999999999</v>
      </c>
      <c r="Y585" s="8">
        <v>0</v>
      </c>
      <c r="AA585" s="8">
        <v>0</v>
      </c>
      <c r="AC585" s="8">
        <v>0</v>
      </c>
      <c r="AE585" s="8">
        <f t="shared" si="24"/>
        <v>65108.160000000003</v>
      </c>
      <c r="AF585" s="8"/>
      <c r="AG585" s="55">
        <v>18204.73</v>
      </c>
      <c r="AH585" s="55"/>
      <c r="AI585" s="55">
        <v>226388.07</v>
      </c>
      <c r="AJ585" s="55"/>
      <c r="AK585" s="55">
        <v>244592.8</v>
      </c>
      <c r="AL585" s="8">
        <f>+'Gov Rev'!AI585-'Gov Exp'!AE585+'Gov Exp'!AI585-'Gov Exp'!AK585</f>
        <v>0</v>
      </c>
      <c r="AM585" s="6" t="str">
        <f>'Gov Rev'!A585</f>
        <v>Stoutsville</v>
      </c>
      <c r="AN585" s="6" t="str">
        <f t="shared" si="25"/>
        <v>Stoutsville</v>
      </c>
      <c r="AO585" s="6" t="b">
        <f t="shared" si="26"/>
        <v>1</v>
      </c>
    </row>
    <row r="586" spans="1:41" x14ac:dyDescent="0.2">
      <c r="A586" s="6" t="s">
        <v>528</v>
      </c>
      <c r="C586" s="6" t="s">
        <v>521</v>
      </c>
      <c r="E586" s="8">
        <v>380253</v>
      </c>
      <c r="G586" s="8">
        <v>1832</v>
      </c>
      <c r="I586" s="8">
        <v>31429</v>
      </c>
      <c r="K586" s="8">
        <v>4645</v>
      </c>
      <c r="M586" s="8">
        <v>87330</v>
      </c>
      <c r="O586" s="8">
        <v>131107</v>
      </c>
      <c r="Q586" s="8">
        <v>241549</v>
      </c>
      <c r="S586" s="8">
        <v>281084</v>
      </c>
      <c r="U586" s="8">
        <v>0</v>
      </c>
      <c r="W586" s="8">
        <v>0</v>
      </c>
      <c r="Y586" s="8">
        <v>423487</v>
      </c>
      <c r="AA586" s="8">
        <v>0</v>
      </c>
      <c r="AC586" s="8">
        <v>15744</v>
      </c>
      <c r="AE586" s="8">
        <f t="shared" si="24"/>
        <v>1598460</v>
      </c>
      <c r="AF586" s="8"/>
      <c r="AG586" s="55"/>
      <c r="AH586" s="55"/>
      <c r="AI586" s="55"/>
      <c r="AJ586" s="55"/>
      <c r="AK586" s="55"/>
      <c r="AL586" s="8">
        <f>+'Gov Rev'!AI586-'Gov Exp'!AE586+'Gov Exp'!AI586-'Gov Exp'!AK586</f>
        <v>-505088</v>
      </c>
      <c r="AM586" s="6" t="str">
        <f>'Gov Rev'!A586</f>
        <v>Strasburg</v>
      </c>
      <c r="AN586" s="6" t="str">
        <f t="shared" si="25"/>
        <v>Strasburg</v>
      </c>
      <c r="AO586" s="6" t="b">
        <f t="shared" si="26"/>
        <v>1</v>
      </c>
    </row>
    <row r="587" spans="1:41" x14ac:dyDescent="0.2">
      <c r="A587" s="6" t="s">
        <v>393</v>
      </c>
      <c r="C587" s="6" t="s">
        <v>390</v>
      </c>
      <c r="E587" s="8">
        <v>110962</v>
      </c>
      <c r="G587" s="8">
        <v>20289</v>
      </c>
      <c r="I587" s="8">
        <v>282130</v>
      </c>
      <c r="K587" s="8">
        <v>0</v>
      </c>
      <c r="M587" s="8">
        <v>199525</v>
      </c>
      <c r="O587" s="8">
        <v>141147</v>
      </c>
      <c r="Q587" s="8">
        <v>1078474</v>
      </c>
      <c r="S587" s="8">
        <v>249823</v>
      </c>
      <c r="U587" s="8">
        <v>78548</v>
      </c>
      <c r="W587" s="8">
        <v>0</v>
      </c>
      <c r="Y587" s="8">
        <v>82488</v>
      </c>
      <c r="AA587" s="8">
        <v>0</v>
      </c>
      <c r="AC587" s="8">
        <v>0</v>
      </c>
      <c r="AE587" s="8">
        <f t="shared" si="24"/>
        <v>2243386</v>
      </c>
      <c r="AF587" s="8"/>
      <c r="AG587" s="55"/>
      <c r="AH587" s="55"/>
      <c r="AI587" s="55"/>
      <c r="AJ587" s="55"/>
      <c r="AK587" s="55"/>
      <c r="AL587" s="8">
        <f>+'Gov Rev'!AI587-'Gov Exp'!AE587+'Gov Exp'!AI587-'Gov Exp'!AK587</f>
        <v>-665953</v>
      </c>
      <c r="AM587" s="6" t="str">
        <f>'Gov Rev'!A587</f>
        <v>Stratton</v>
      </c>
      <c r="AN587" s="6" t="str">
        <f t="shared" si="25"/>
        <v>Stratton</v>
      </c>
      <c r="AO587" s="6" t="b">
        <f t="shared" si="26"/>
        <v>1</v>
      </c>
    </row>
    <row r="588" spans="1:41" x14ac:dyDescent="0.2">
      <c r="A588" s="6" t="s">
        <v>556</v>
      </c>
      <c r="C588" s="6" t="s">
        <v>554</v>
      </c>
      <c r="E588" s="8">
        <v>244732.87</v>
      </c>
      <c r="G588" s="8">
        <v>1767.1</v>
      </c>
      <c r="I588" s="8">
        <v>0</v>
      </c>
      <c r="K588" s="8">
        <v>0</v>
      </c>
      <c r="M588" s="8">
        <v>441.2</v>
      </c>
      <c r="O588" s="8">
        <v>113809.01</v>
      </c>
      <c r="Q588" s="8">
        <v>174969.36</v>
      </c>
      <c r="S588" s="8">
        <v>164124.72</v>
      </c>
      <c r="U588" s="8">
        <v>0</v>
      </c>
      <c r="W588" s="8">
        <v>81000</v>
      </c>
      <c r="Y588" s="8">
        <v>0</v>
      </c>
      <c r="AA588" s="8">
        <v>0</v>
      </c>
      <c r="AC588" s="8">
        <v>0</v>
      </c>
      <c r="AE588" s="8">
        <f t="shared" si="24"/>
        <v>780844.26</v>
      </c>
      <c r="AF588" s="8"/>
      <c r="AG588" s="55">
        <v>-126254.92</v>
      </c>
      <c r="AH588" s="55"/>
      <c r="AI588" s="55">
        <v>659673.29</v>
      </c>
      <c r="AJ588" s="55"/>
      <c r="AK588" s="55">
        <v>533418.37</v>
      </c>
      <c r="AL588" s="8">
        <f>+'Gov Rev'!AI588-'Gov Exp'!AE588+'Gov Exp'!AI588-'Gov Exp'!AK588</f>
        <v>0</v>
      </c>
      <c r="AM588" s="6" t="str">
        <f>'Gov Rev'!A588</f>
        <v>Stryker</v>
      </c>
      <c r="AN588" s="6" t="str">
        <f t="shared" si="25"/>
        <v>Stryker</v>
      </c>
      <c r="AO588" s="6" t="b">
        <f t="shared" si="26"/>
        <v>1</v>
      </c>
    </row>
    <row r="589" spans="1:41" x14ac:dyDescent="0.2">
      <c r="A589" s="6" t="s">
        <v>181</v>
      </c>
      <c r="C589" s="6" t="s">
        <v>241</v>
      </c>
      <c r="E589" s="8">
        <v>23598.07</v>
      </c>
      <c r="G589" s="8">
        <v>580</v>
      </c>
      <c r="I589" s="8">
        <v>0</v>
      </c>
      <c r="K589" s="8">
        <v>23800.39</v>
      </c>
      <c r="M589" s="8">
        <v>24486</v>
      </c>
      <c r="O589" s="8">
        <v>15364.16</v>
      </c>
      <c r="Q589" s="8">
        <v>29478.04</v>
      </c>
      <c r="S589" s="8">
        <v>0</v>
      </c>
      <c r="U589" s="8">
        <v>0</v>
      </c>
      <c r="W589" s="8">
        <v>0</v>
      </c>
      <c r="Y589" s="8">
        <v>0</v>
      </c>
      <c r="AA589" s="8">
        <v>0</v>
      </c>
      <c r="AC589" s="8">
        <v>0</v>
      </c>
      <c r="AE589" s="8">
        <f t="shared" si="24"/>
        <v>117306.66</v>
      </c>
      <c r="AF589" s="8"/>
      <c r="AG589" s="55">
        <v>-11807.43</v>
      </c>
      <c r="AH589" s="55"/>
      <c r="AI589" s="55">
        <v>268954.23999999999</v>
      </c>
      <c r="AJ589" s="55"/>
      <c r="AK589" s="55">
        <v>257146.81</v>
      </c>
      <c r="AL589" s="8">
        <f>+'Gov Rev'!AI589-'Gov Exp'!AE589+'Gov Exp'!AI589-'Gov Exp'!AK589</f>
        <v>0</v>
      </c>
      <c r="AM589" s="6" t="str">
        <f>'Gov Rev'!A589</f>
        <v>Sugar Bush Knolls</v>
      </c>
      <c r="AN589" s="6" t="str">
        <f t="shared" si="25"/>
        <v>Sugar Bush Knolls</v>
      </c>
      <c r="AO589" s="6" t="b">
        <f t="shared" si="26"/>
        <v>1</v>
      </c>
    </row>
    <row r="590" spans="1:41" x14ac:dyDescent="0.2">
      <c r="A590" s="6" t="s">
        <v>61</v>
      </c>
      <c r="C590" s="6" t="s">
        <v>327</v>
      </c>
      <c r="E590" s="8">
        <v>48078.41</v>
      </c>
      <c r="G590" s="8">
        <v>239.46</v>
      </c>
      <c r="I590" s="8">
        <v>712.31</v>
      </c>
      <c r="K590" s="8">
        <v>7758.45</v>
      </c>
      <c r="M590" s="8">
        <v>0</v>
      </c>
      <c r="O590" s="8">
        <v>19543.650000000001</v>
      </c>
      <c r="Q590" s="8">
        <v>66204.38</v>
      </c>
      <c r="S590" s="8">
        <v>179389.96</v>
      </c>
      <c r="U590" s="8">
        <v>0</v>
      </c>
      <c r="W590" s="8">
        <v>0</v>
      </c>
      <c r="Y590" s="8">
        <v>7900</v>
      </c>
      <c r="AA590" s="8">
        <v>0</v>
      </c>
      <c r="AC590" s="8">
        <v>0</v>
      </c>
      <c r="AE590" s="8">
        <f t="shared" si="24"/>
        <v>329826.62</v>
      </c>
      <c r="AF590" s="8"/>
      <c r="AG590" s="55">
        <v>24853.1</v>
      </c>
      <c r="AH590" s="55"/>
      <c r="AI590" s="55">
        <v>241508.5</v>
      </c>
      <c r="AJ590" s="55"/>
      <c r="AK590" s="55">
        <v>266361.59999999998</v>
      </c>
      <c r="AL590" s="8">
        <f>+'Gov Rev'!AI590-'Gov Exp'!AE590+'Gov Exp'!AI590-'Gov Exp'!AK590</f>
        <v>0</v>
      </c>
      <c r="AM590" s="6" t="str">
        <f>'Gov Rev'!A590</f>
        <v>Sugar Grove</v>
      </c>
      <c r="AN590" s="6" t="str">
        <f t="shared" si="25"/>
        <v>Sugar Grove</v>
      </c>
      <c r="AO590" s="6" t="b">
        <f t="shared" si="26"/>
        <v>1</v>
      </c>
    </row>
    <row r="591" spans="1:41" x14ac:dyDescent="0.2">
      <c r="AE591" s="8"/>
      <c r="AF591" s="8"/>
      <c r="AG591" s="55"/>
      <c r="AH591" s="55"/>
      <c r="AI591" s="55"/>
      <c r="AJ591" s="55"/>
      <c r="AK591" s="55"/>
      <c r="AL591" s="8"/>
    </row>
    <row r="592" spans="1:41" ht="12.75" x14ac:dyDescent="0.2">
      <c r="AE592" s="88" t="s">
        <v>733</v>
      </c>
      <c r="AF592" s="8"/>
      <c r="AG592" s="55"/>
      <c r="AH592" s="55"/>
      <c r="AI592" s="55"/>
      <c r="AJ592" s="55"/>
      <c r="AK592" s="55"/>
      <c r="AL592" s="8"/>
    </row>
    <row r="593" spans="1:41" x14ac:dyDescent="0.2">
      <c r="AE593" s="8"/>
      <c r="AF593" s="8"/>
      <c r="AG593" s="55"/>
      <c r="AH593" s="55"/>
      <c r="AI593" s="55"/>
      <c r="AJ593" s="55"/>
      <c r="AK593" s="55"/>
      <c r="AL593" s="8"/>
    </row>
    <row r="594" spans="1:41" ht="12" customHeight="1" x14ac:dyDescent="0.2">
      <c r="A594" s="6" t="s">
        <v>529</v>
      </c>
      <c r="C594" s="6" t="s">
        <v>521</v>
      </c>
      <c r="E594" s="54">
        <v>572887</v>
      </c>
      <c r="G594" s="18">
        <v>2300</v>
      </c>
      <c r="H594" s="18"/>
      <c r="I594" s="18">
        <v>18424</v>
      </c>
      <c r="J594" s="18"/>
      <c r="K594" s="18">
        <v>10094</v>
      </c>
      <c r="L594" s="18"/>
      <c r="M594" s="18">
        <v>123020</v>
      </c>
      <c r="N594" s="18"/>
      <c r="O594" s="18">
        <v>318232</v>
      </c>
      <c r="P594" s="18"/>
      <c r="Q594" s="18">
        <v>278173</v>
      </c>
      <c r="R594" s="18"/>
      <c r="S594" s="18">
        <v>551339</v>
      </c>
      <c r="T594" s="18"/>
      <c r="U594" s="18">
        <v>70978</v>
      </c>
      <c r="V594" s="18"/>
      <c r="W594" s="18">
        <v>77465</v>
      </c>
      <c r="X594" s="18"/>
      <c r="Y594" s="18">
        <v>177742</v>
      </c>
      <c r="Z594" s="18"/>
      <c r="AA594" s="18">
        <v>0</v>
      </c>
      <c r="AB594" s="18"/>
      <c r="AC594" s="18">
        <v>0</v>
      </c>
      <c r="AD594" s="18"/>
      <c r="AE594" s="18">
        <f t="shared" si="24"/>
        <v>2200654</v>
      </c>
      <c r="AF594" s="18"/>
      <c r="AG594" s="64"/>
      <c r="AH594" s="64"/>
      <c r="AI594" s="64"/>
      <c r="AJ594" s="64"/>
      <c r="AK594" s="64"/>
      <c r="AL594" s="8">
        <f>+'Gov Rev'!AI591-'Gov Exp'!AE594+'Gov Exp'!AI594-'Gov Exp'!AK594</f>
        <v>-31283</v>
      </c>
      <c r="AM594" s="6" t="str">
        <f>'Gov Rev'!A591</f>
        <v>Sugarcreek</v>
      </c>
      <c r="AN594" s="6" t="str">
        <f t="shared" si="25"/>
        <v>Sugarcreek</v>
      </c>
      <c r="AO594" s="6" t="b">
        <f t="shared" si="26"/>
        <v>1</v>
      </c>
    </row>
    <row r="595" spans="1:41" x14ac:dyDescent="0.2">
      <c r="A595" s="6" t="s">
        <v>164</v>
      </c>
      <c r="C595" s="6" t="s">
        <v>455</v>
      </c>
      <c r="E595" s="8">
        <v>13673.24</v>
      </c>
      <c r="G595" s="8">
        <v>0</v>
      </c>
      <c r="I595" s="8">
        <v>8281.6200000000008</v>
      </c>
      <c r="K595" s="8">
        <v>0</v>
      </c>
      <c r="M595" s="8">
        <v>729.1</v>
      </c>
      <c r="O595" s="8">
        <v>2612.23</v>
      </c>
      <c r="Q595" s="8">
        <v>16195.79</v>
      </c>
      <c r="S595" s="8">
        <v>0</v>
      </c>
      <c r="U595" s="8">
        <v>0</v>
      </c>
      <c r="W595" s="8">
        <v>0</v>
      </c>
      <c r="Y595" s="8">
        <v>0</v>
      </c>
      <c r="AA595" s="8">
        <v>0</v>
      </c>
      <c r="AC595" s="8">
        <v>28.8</v>
      </c>
      <c r="AE595" s="8">
        <f t="shared" si="24"/>
        <v>41520.78</v>
      </c>
      <c r="AF595" s="8"/>
      <c r="AG595" s="55">
        <v>46712.25</v>
      </c>
      <c r="AH595" s="55"/>
      <c r="AI595" s="55">
        <v>18755.330000000002</v>
      </c>
      <c r="AJ595" s="55"/>
      <c r="AK595" s="55">
        <v>65467.58</v>
      </c>
      <c r="AL595" s="8">
        <f>+'Gov Rev'!AI592-'Gov Exp'!AE595+'Gov Exp'!AI595-'Gov Exp'!AK595</f>
        <v>0</v>
      </c>
      <c r="AM595" s="6" t="str">
        <f>'Gov Rev'!A592</f>
        <v>Summerfield</v>
      </c>
      <c r="AN595" s="6" t="str">
        <f t="shared" si="25"/>
        <v>Summerfield</v>
      </c>
      <c r="AO595" s="6" t="b">
        <f t="shared" si="26"/>
        <v>1</v>
      </c>
    </row>
    <row r="596" spans="1:41" x14ac:dyDescent="0.2">
      <c r="A596" s="6" t="s">
        <v>45</v>
      </c>
      <c r="C596" s="6" t="s">
        <v>283</v>
      </c>
      <c r="E596" s="8">
        <v>7886.9</v>
      </c>
      <c r="G596" s="8">
        <v>0</v>
      </c>
      <c r="I596" s="8">
        <v>0</v>
      </c>
      <c r="K596" s="8">
        <v>80</v>
      </c>
      <c r="M596" s="8">
        <v>6476.71</v>
      </c>
      <c r="O596" s="8">
        <v>54.77</v>
      </c>
      <c r="Q596" s="8">
        <v>8576.33</v>
      </c>
      <c r="S596" s="8">
        <v>0</v>
      </c>
      <c r="U596" s="8">
        <v>0</v>
      </c>
      <c r="W596" s="8">
        <v>0</v>
      </c>
      <c r="Y596" s="8">
        <v>0</v>
      </c>
      <c r="AA596" s="8">
        <v>0</v>
      </c>
      <c r="AC596" s="8">
        <v>0</v>
      </c>
      <c r="AE596" s="8">
        <f t="shared" si="24"/>
        <v>23074.71</v>
      </c>
      <c r="AF596" s="8"/>
      <c r="AG596" s="55">
        <v>-3142.42</v>
      </c>
      <c r="AH596" s="55"/>
      <c r="AI596" s="55">
        <v>20765.09</v>
      </c>
      <c r="AJ596" s="55"/>
      <c r="AK596" s="55">
        <v>17622.669999999998</v>
      </c>
      <c r="AL596" s="8">
        <f>+'Gov Rev'!AI593-'Gov Exp'!AE596+'Gov Exp'!AI596-'Gov Exp'!AK596</f>
        <v>0</v>
      </c>
      <c r="AM596" s="6" t="str">
        <f>'Gov Rev'!A593</f>
        <v>Summitville</v>
      </c>
      <c r="AN596" s="6" t="str">
        <f t="shared" si="25"/>
        <v>Summitville</v>
      </c>
      <c r="AO596" s="6" t="b">
        <f t="shared" si="26"/>
        <v>1</v>
      </c>
    </row>
    <row r="597" spans="1:41" x14ac:dyDescent="0.2">
      <c r="A597" s="6" t="s">
        <v>323</v>
      </c>
      <c r="C597" s="6" t="s">
        <v>320</v>
      </c>
      <c r="E597" s="8">
        <v>1088472</v>
      </c>
      <c r="G597" s="8">
        <v>170240</v>
      </c>
      <c r="I597" s="8">
        <v>145243</v>
      </c>
      <c r="K597" s="8">
        <v>218419</v>
      </c>
      <c r="M597" s="8">
        <v>0</v>
      </c>
      <c r="O597" s="8">
        <v>519169</v>
      </c>
      <c r="Q597" s="8">
        <v>590039</v>
      </c>
      <c r="S597" s="8">
        <v>18264</v>
      </c>
      <c r="U597" s="8">
        <f>1232400+1115898</f>
        <v>2348298</v>
      </c>
      <c r="W597" s="8">
        <v>47499</v>
      </c>
      <c r="Y597" s="8">
        <v>27400</v>
      </c>
      <c r="AA597" s="8">
        <v>0</v>
      </c>
      <c r="AC597" s="8">
        <v>0</v>
      </c>
      <c r="AE597" s="8">
        <f t="shared" si="24"/>
        <v>5173043</v>
      </c>
      <c r="AF597" s="8"/>
      <c r="AG597" s="55"/>
      <c r="AH597" s="55"/>
      <c r="AI597" s="55"/>
      <c r="AJ597" s="55"/>
      <c r="AK597" s="55"/>
      <c r="AL597" s="8">
        <f>+'Gov Rev'!AI594-'Gov Exp'!AE597+'Gov Exp'!AI597-'Gov Exp'!AK597</f>
        <v>693127</v>
      </c>
      <c r="AM597" s="6" t="str">
        <f>'Gov Rev'!A594</f>
        <v>Sunbury</v>
      </c>
      <c r="AN597" s="6" t="str">
        <f t="shared" si="25"/>
        <v>Sunbury</v>
      </c>
      <c r="AO597" s="6" t="b">
        <f t="shared" si="26"/>
        <v>1</v>
      </c>
    </row>
    <row r="598" spans="1:41" x14ac:dyDescent="0.2">
      <c r="A598" s="6" t="s">
        <v>336</v>
      </c>
      <c r="C598" s="6" t="s">
        <v>332</v>
      </c>
      <c r="E598" s="8">
        <v>689779.08</v>
      </c>
      <c r="G598" s="8">
        <v>0</v>
      </c>
      <c r="I598" s="8">
        <v>38869.35</v>
      </c>
      <c r="K598" s="8">
        <v>3900.23</v>
      </c>
      <c r="M598" s="8">
        <v>44060.24</v>
      </c>
      <c r="O598" s="8">
        <v>266097.69</v>
      </c>
      <c r="Q598" s="8">
        <v>391095.34</v>
      </c>
      <c r="S598" s="8">
        <v>422934.01</v>
      </c>
      <c r="U598" s="8">
        <v>7359.68</v>
      </c>
      <c r="W598" s="8">
        <v>0</v>
      </c>
      <c r="Y598" s="8">
        <v>425000</v>
      </c>
      <c r="AA598" s="8">
        <v>0</v>
      </c>
      <c r="AC598" s="8">
        <v>49402.43</v>
      </c>
      <c r="AE598" s="8">
        <f t="shared" si="24"/>
        <v>2338498.0500000003</v>
      </c>
      <c r="AF598" s="8"/>
      <c r="AG598" s="55">
        <v>-197446.94</v>
      </c>
      <c r="AH598" s="55"/>
      <c r="AI598" s="55">
        <v>4145435.09</v>
      </c>
      <c r="AJ598" s="55"/>
      <c r="AK598" s="55">
        <v>3947988.15</v>
      </c>
      <c r="AL598" s="8">
        <f>+'Gov Rev'!AI595-'Gov Exp'!AE598+'Gov Exp'!AI598-'Gov Exp'!AK598</f>
        <v>0</v>
      </c>
      <c r="AM598" s="6" t="str">
        <f>'Gov Rev'!A595</f>
        <v>Swanton</v>
      </c>
      <c r="AN598" s="6" t="str">
        <f t="shared" si="25"/>
        <v>Swanton</v>
      </c>
      <c r="AO598" s="6" t="b">
        <f t="shared" si="26"/>
        <v>1</v>
      </c>
    </row>
    <row r="599" spans="1:41" x14ac:dyDescent="0.2">
      <c r="A599" s="6" t="s">
        <v>248</v>
      </c>
      <c r="C599" s="6" t="s">
        <v>566</v>
      </c>
      <c r="E599" s="8">
        <v>223311.47</v>
      </c>
      <c r="G599" s="8">
        <v>2038</v>
      </c>
      <c r="I599" s="8">
        <v>2000</v>
      </c>
      <c r="K599" s="8">
        <v>1599.15</v>
      </c>
      <c r="M599" s="8">
        <v>0</v>
      </c>
      <c r="O599" s="8">
        <v>96144.09</v>
      </c>
      <c r="Q599" s="8">
        <v>62845.66</v>
      </c>
      <c r="S599" s="8">
        <v>0</v>
      </c>
      <c r="U599" s="8">
        <v>13464.55</v>
      </c>
      <c r="W599" s="8">
        <v>6244.55</v>
      </c>
      <c r="Y599" s="8">
        <v>90612.3</v>
      </c>
      <c r="AA599" s="8">
        <v>0</v>
      </c>
      <c r="AC599" s="8">
        <v>899.32</v>
      </c>
      <c r="AE599" s="8">
        <f t="shared" si="24"/>
        <v>499159.08999999997</v>
      </c>
      <c r="AF599" s="8"/>
      <c r="AG599" s="55">
        <v>19249.28</v>
      </c>
      <c r="AH599" s="55"/>
      <c r="AI599" s="55">
        <v>625032.65</v>
      </c>
      <c r="AJ599" s="55"/>
      <c r="AK599" s="55">
        <v>644281.93000000005</v>
      </c>
      <c r="AL599" s="8">
        <f>+'Gov Rev'!AI596-'Gov Exp'!AE599+'Gov Exp'!AI599-'Gov Exp'!AK599</f>
        <v>0</v>
      </c>
      <c r="AM599" s="6" t="str">
        <f>'Gov Rev'!A596</f>
        <v>Sycamore</v>
      </c>
      <c r="AN599" s="6" t="str">
        <f t="shared" si="25"/>
        <v>Sycamore</v>
      </c>
      <c r="AO599" s="6" t="b">
        <f t="shared" si="26"/>
        <v>1</v>
      </c>
    </row>
    <row r="600" spans="1:41" x14ac:dyDescent="0.2">
      <c r="A600" s="6" t="s">
        <v>147</v>
      </c>
      <c r="C600" s="6" t="s">
        <v>431</v>
      </c>
      <c r="E600" s="8">
        <v>93442.39</v>
      </c>
      <c r="G600" s="8">
        <v>0</v>
      </c>
      <c r="I600" s="8">
        <v>25434.9</v>
      </c>
      <c r="K600" s="8">
        <v>0</v>
      </c>
      <c r="M600" s="8">
        <v>0</v>
      </c>
      <c r="O600" s="8">
        <v>39312.959999999999</v>
      </c>
      <c r="Q600" s="8">
        <v>55072.83</v>
      </c>
      <c r="S600" s="8">
        <v>3725.71</v>
      </c>
      <c r="U600" s="8">
        <v>0</v>
      </c>
      <c r="W600" s="8">
        <v>0</v>
      </c>
      <c r="Y600" s="8">
        <v>9873.9699999999993</v>
      </c>
      <c r="AA600" s="8">
        <v>8000</v>
      </c>
      <c r="AC600" s="8">
        <v>0</v>
      </c>
      <c r="AE600" s="8">
        <f t="shared" si="24"/>
        <v>234862.76</v>
      </c>
      <c r="AF600" s="8"/>
      <c r="AG600" s="55">
        <v>-3547.89</v>
      </c>
      <c r="AH600" s="55"/>
      <c r="AI600" s="55">
        <v>238380</v>
      </c>
      <c r="AJ600" s="55"/>
      <c r="AK600" s="55">
        <v>234832.11</v>
      </c>
      <c r="AL600" s="8">
        <f>+'Gov Rev'!AI597-'Gov Exp'!AE600+'Gov Exp'!AI600-'Gov Exp'!AK600</f>
        <v>0</v>
      </c>
      <c r="AM600" s="6" t="str">
        <f>'Gov Rev'!A597</f>
        <v>Syracuse</v>
      </c>
      <c r="AN600" s="6" t="str">
        <f t="shared" si="25"/>
        <v>Syracuse</v>
      </c>
      <c r="AO600" s="6" t="b">
        <f t="shared" si="26"/>
        <v>1</v>
      </c>
    </row>
    <row r="601" spans="1:41" x14ac:dyDescent="0.2">
      <c r="A601" s="6" t="s">
        <v>176</v>
      </c>
      <c r="C601" s="6" t="s">
        <v>467</v>
      </c>
      <c r="E601" s="8">
        <v>1684.98</v>
      </c>
      <c r="G601" s="8">
        <v>0</v>
      </c>
      <c r="I601" s="8">
        <v>540</v>
      </c>
      <c r="K601" s="8">
        <v>0</v>
      </c>
      <c r="M601" s="8">
        <v>0</v>
      </c>
      <c r="O601" s="8">
        <v>30880.61</v>
      </c>
      <c r="Q601" s="8">
        <v>26553.599999999999</v>
      </c>
      <c r="S601" s="8">
        <v>0</v>
      </c>
      <c r="U601" s="8">
        <v>4235.07</v>
      </c>
      <c r="W601" s="8">
        <v>439.53</v>
      </c>
      <c r="Y601" s="8">
        <v>4891.8999999999996</v>
      </c>
      <c r="AA601" s="8">
        <v>0</v>
      </c>
      <c r="AC601" s="8">
        <v>200</v>
      </c>
      <c r="AE601" s="8">
        <f t="shared" si="24"/>
        <v>69425.69</v>
      </c>
      <c r="AF601" s="8"/>
      <c r="AG601" s="55">
        <v>-17324.96</v>
      </c>
      <c r="AH601" s="55"/>
      <c r="AI601" s="55">
        <v>44919.85</v>
      </c>
      <c r="AJ601" s="55"/>
      <c r="AK601" s="55">
        <v>27594.89</v>
      </c>
      <c r="AL601" s="8">
        <f>+'Gov Rev'!AI598-'Gov Exp'!AE601+'Gov Exp'!AI601-'Gov Exp'!AK601</f>
        <v>0</v>
      </c>
      <c r="AM601" s="6" t="str">
        <f>'Gov Rev'!A598</f>
        <v>Tarlton</v>
      </c>
      <c r="AN601" s="6" t="str">
        <f t="shared" si="25"/>
        <v>Tarlton</v>
      </c>
      <c r="AO601" s="6" t="b">
        <f t="shared" si="26"/>
        <v>1</v>
      </c>
    </row>
    <row r="602" spans="1:41" x14ac:dyDescent="0.2">
      <c r="A602" s="6" t="s">
        <v>357</v>
      </c>
      <c r="C602" s="6" t="s">
        <v>351</v>
      </c>
      <c r="E602" s="8">
        <v>809220.74</v>
      </c>
      <c r="G602" s="8">
        <v>0</v>
      </c>
      <c r="I602" s="8">
        <v>838.5</v>
      </c>
      <c r="K602" s="8">
        <v>29345.37</v>
      </c>
      <c r="M602" s="8">
        <v>137380.1</v>
      </c>
      <c r="O602" s="8">
        <v>298660.82</v>
      </c>
      <c r="Q602" s="8">
        <v>500146.19</v>
      </c>
      <c r="S602" s="8">
        <v>0</v>
      </c>
      <c r="U602" s="8">
        <v>50000</v>
      </c>
      <c r="W602" s="8">
        <v>79375</v>
      </c>
      <c r="Y602" s="8">
        <v>0</v>
      </c>
      <c r="AA602" s="8">
        <v>0</v>
      </c>
      <c r="AC602" s="8">
        <v>0</v>
      </c>
      <c r="AE602" s="8">
        <f t="shared" si="24"/>
        <v>1904966.72</v>
      </c>
      <c r="AF602" s="8"/>
      <c r="AG602" s="55">
        <v>-87529.69</v>
      </c>
      <c r="AH602" s="55"/>
      <c r="AI602" s="55">
        <v>1525778.89</v>
      </c>
      <c r="AJ602" s="55"/>
      <c r="AK602" s="55">
        <v>1438249.2</v>
      </c>
      <c r="AL602" s="8">
        <f>+'Gov Rev'!AI599-'Gov Exp'!AE602+'Gov Exp'!AI602-'Gov Exp'!AK602</f>
        <v>0</v>
      </c>
      <c r="AM602" s="6" t="str">
        <f>'Gov Rev'!A599</f>
        <v>Terrace Park</v>
      </c>
      <c r="AN602" s="6" t="str">
        <f t="shared" si="25"/>
        <v>Terrace Park</v>
      </c>
      <c r="AO602" s="6" t="b">
        <f t="shared" si="26"/>
        <v>1</v>
      </c>
    </row>
    <row r="603" spans="1:41" x14ac:dyDescent="0.2">
      <c r="A603" s="6" t="s">
        <v>466</v>
      </c>
      <c r="C603" s="6" t="s">
        <v>464</v>
      </c>
      <c r="E603" s="8">
        <v>71805.7</v>
      </c>
      <c r="G603" s="8">
        <v>423.13</v>
      </c>
      <c r="I603" s="8">
        <v>14845.76</v>
      </c>
      <c r="K603" s="8">
        <v>19614.29</v>
      </c>
      <c r="M603" s="8">
        <v>1703.51</v>
      </c>
      <c r="O603" s="8">
        <v>68992.179999999993</v>
      </c>
      <c r="Q603" s="8">
        <v>117189.19</v>
      </c>
      <c r="S603" s="8">
        <v>264436.11</v>
      </c>
      <c r="U603" s="8">
        <v>663.8</v>
      </c>
      <c r="W603" s="8">
        <v>0</v>
      </c>
      <c r="Y603" s="8">
        <v>0</v>
      </c>
      <c r="AA603" s="8">
        <v>0</v>
      </c>
      <c r="AC603" s="8">
        <v>0</v>
      </c>
      <c r="AE603" s="8">
        <f t="shared" si="24"/>
        <v>559673.67000000004</v>
      </c>
      <c r="AF603" s="8"/>
      <c r="AG603" s="55">
        <v>26674.07</v>
      </c>
      <c r="AH603" s="55"/>
      <c r="AI603" s="55">
        <v>909554.21</v>
      </c>
      <c r="AJ603" s="55"/>
      <c r="AK603" s="55">
        <v>936228.28</v>
      </c>
      <c r="AL603" s="8">
        <f>+'Gov Rev'!AI600-'Gov Exp'!AE603+'Gov Exp'!AI603-'Gov Exp'!AK603</f>
        <v>0</v>
      </c>
      <c r="AM603" s="6" t="str">
        <f>'Gov Rev'!A600</f>
        <v>Thornville</v>
      </c>
      <c r="AN603" s="6" t="str">
        <f t="shared" si="25"/>
        <v>Thornville</v>
      </c>
      <c r="AO603" s="6" t="b">
        <f t="shared" si="26"/>
        <v>1</v>
      </c>
    </row>
    <row r="604" spans="1:41" x14ac:dyDescent="0.2">
      <c r="A604" s="6" t="s">
        <v>62</v>
      </c>
      <c r="C604" s="6" t="s">
        <v>327</v>
      </c>
      <c r="E604" s="8">
        <v>91136.69</v>
      </c>
      <c r="G604" s="8">
        <v>2717.78</v>
      </c>
      <c r="I604" s="8">
        <v>41.29</v>
      </c>
      <c r="K604" s="8">
        <v>170</v>
      </c>
      <c r="M604" s="8">
        <v>20953.490000000002</v>
      </c>
      <c r="O604" s="8">
        <v>11616.21</v>
      </c>
      <c r="Q604" s="8">
        <v>35760.230000000003</v>
      </c>
      <c r="S604" s="8">
        <v>496169.35</v>
      </c>
      <c r="U604" s="8">
        <v>0</v>
      </c>
      <c r="W604" s="8">
        <v>0</v>
      </c>
      <c r="Y604" s="8">
        <v>4570.3999999999996</v>
      </c>
      <c r="AA604" s="8">
        <v>0</v>
      </c>
      <c r="AC604" s="8">
        <v>0</v>
      </c>
      <c r="AE604" s="8">
        <f t="shared" si="24"/>
        <v>663135.44000000006</v>
      </c>
      <c r="AF604" s="8"/>
      <c r="AG604" s="55">
        <v>23504.080000000002</v>
      </c>
      <c r="AH604" s="55"/>
      <c r="AI604" s="55">
        <v>219555.32</v>
      </c>
      <c r="AJ604" s="55"/>
      <c r="AK604" s="55">
        <v>243059.4</v>
      </c>
      <c r="AL604" s="8">
        <f>+'Gov Rev'!AI601-'Gov Exp'!AE604+'Gov Exp'!AI604-'Gov Exp'!AK604</f>
        <v>0</v>
      </c>
      <c r="AM604" s="6" t="str">
        <f>'Gov Rev'!A601</f>
        <v>Thurston</v>
      </c>
      <c r="AN604" s="6" t="str">
        <f t="shared" si="25"/>
        <v>Thurston</v>
      </c>
      <c r="AO604" s="6" t="b">
        <f t="shared" si="26"/>
        <v>1</v>
      </c>
    </row>
    <row r="605" spans="1:41" x14ac:dyDescent="0.2">
      <c r="A605" s="6" t="s">
        <v>403</v>
      </c>
      <c r="C605" s="6" t="s">
        <v>399</v>
      </c>
      <c r="E605" s="8">
        <v>253529</v>
      </c>
      <c r="G605" s="8">
        <v>5637</v>
      </c>
      <c r="I605" s="8">
        <v>26052</v>
      </c>
      <c r="K605" s="8">
        <v>0</v>
      </c>
      <c r="M605" s="8">
        <v>119394</v>
      </c>
      <c r="O605" s="8">
        <v>40203</v>
      </c>
      <c r="Q605" s="8">
        <v>118670</v>
      </c>
      <c r="S605" s="8">
        <v>0</v>
      </c>
      <c r="U605" s="8">
        <v>0</v>
      </c>
      <c r="W605" s="8">
        <v>0</v>
      </c>
      <c r="Y605" s="8">
        <v>0</v>
      </c>
      <c r="AA605" s="8">
        <v>0</v>
      </c>
      <c r="AC605" s="8">
        <v>0</v>
      </c>
      <c r="AE605" s="8">
        <f t="shared" si="24"/>
        <v>563485</v>
      </c>
      <c r="AF605" s="8"/>
      <c r="AG605" s="55"/>
      <c r="AH605" s="55"/>
      <c r="AI605" s="55"/>
      <c r="AJ605" s="55"/>
      <c r="AK605" s="55"/>
      <c r="AL605" s="8">
        <f>+'Gov Rev'!AI602-'Gov Exp'!AE605+'Gov Exp'!AI605-'Gov Exp'!AK605</f>
        <v>-31426</v>
      </c>
      <c r="AM605" s="6" t="str">
        <f>'Gov Rev'!A602</f>
        <v>Timberlake</v>
      </c>
      <c r="AN605" s="6" t="str">
        <f t="shared" si="25"/>
        <v>Timberlake</v>
      </c>
      <c r="AO605" s="6" t="b">
        <f t="shared" si="26"/>
        <v>1</v>
      </c>
    </row>
    <row r="606" spans="1:41" x14ac:dyDescent="0.2">
      <c r="A606" s="6" t="s">
        <v>727</v>
      </c>
      <c r="C606" s="6" t="s">
        <v>289</v>
      </c>
      <c r="E606" s="8">
        <v>4124.7700000000004</v>
      </c>
      <c r="G606" s="8">
        <v>206</v>
      </c>
      <c r="I606" s="8">
        <v>0</v>
      </c>
      <c r="K606" s="8">
        <v>0</v>
      </c>
      <c r="M606" s="8">
        <v>0</v>
      </c>
      <c r="O606" s="8">
        <v>1507.5</v>
      </c>
      <c r="Q606" s="8">
        <v>12010.08</v>
      </c>
      <c r="S606" s="8">
        <v>0</v>
      </c>
      <c r="U606" s="8">
        <v>9175.14</v>
      </c>
      <c r="W606" s="8">
        <v>0</v>
      </c>
      <c r="Y606" s="8">
        <v>0</v>
      </c>
      <c r="AA606" s="8">
        <v>0</v>
      </c>
      <c r="AC606" s="8">
        <v>0</v>
      </c>
      <c r="AE606" s="8">
        <f t="shared" si="24"/>
        <v>27023.489999999998</v>
      </c>
      <c r="AF606" s="8"/>
      <c r="AG606" s="55">
        <v>-3626.5</v>
      </c>
      <c r="AH606" s="55"/>
      <c r="AI606" s="55">
        <v>64775.15</v>
      </c>
      <c r="AJ606" s="55"/>
      <c r="AK606" s="55">
        <v>61148.65</v>
      </c>
      <c r="AL606" s="8">
        <f>+'Gov Rev'!AI603-'Gov Exp'!AE606+'Gov Exp'!AI606-'Gov Exp'!AK606</f>
        <v>0</v>
      </c>
      <c r="AM606" s="6" t="str">
        <f>'Gov Rev'!A603</f>
        <v>Tiro</v>
      </c>
      <c r="AN606" s="6" t="str">
        <f t="shared" si="25"/>
        <v>Tiro</v>
      </c>
      <c r="AO606" s="6" t="b">
        <f t="shared" si="26"/>
        <v>1</v>
      </c>
    </row>
    <row r="607" spans="1:41" x14ac:dyDescent="0.2">
      <c r="A607" s="6" t="s">
        <v>564</v>
      </c>
      <c r="C607" s="6" t="s">
        <v>558</v>
      </c>
      <c r="E607" s="8">
        <v>28972.83</v>
      </c>
      <c r="G607" s="8">
        <v>202.66</v>
      </c>
      <c r="I607" s="8">
        <v>11815.93</v>
      </c>
      <c r="K607" s="8">
        <v>1385.4</v>
      </c>
      <c r="M607" s="8">
        <v>943.2</v>
      </c>
      <c r="O607" s="8">
        <v>4080.02</v>
      </c>
      <c r="Q607" s="8">
        <v>43992.72</v>
      </c>
      <c r="S607" s="8">
        <v>63341.36</v>
      </c>
      <c r="U607" s="8">
        <v>0</v>
      </c>
      <c r="W607" s="8">
        <v>0</v>
      </c>
      <c r="Y607" s="8">
        <v>0</v>
      </c>
      <c r="AA607" s="8">
        <v>0</v>
      </c>
      <c r="AC607" s="8">
        <v>1987.44</v>
      </c>
      <c r="AE607" s="8">
        <f t="shared" si="24"/>
        <v>156721.56</v>
      </c>
      <c r="AF607" s="8"/>
      <c r="AG607" s="55">
        <v>5971.87</v>
      </c>
      <c r="AH607" s="55"/>
      <c r="AI607" s="55">
        <v>278556.3</v>
      </c>
      <c r="AJ607" s="55"/>
      <c r="AK607" s="55">
        <v>284528.17</v>
      </c>
      <c r="AL607" s="8">
        <f>+'Gov Rev'!AI604-'Gov Exp'!AE607+'Gov Exp'!AI607-'Gov Exp'!AK607</f>
        <v>0</v>
      </c>
      <c r="AM607" s="6" t="str">
        <f>'Gov Rev'!A604</f>
        <v>Tontogany</v>
      </c>
      <c r="AN607" s="6" t="str">
        <f t="shared" si="25"/>
        <v>Tontogany</v>
      </c>
      <c r="AO607" s="6" t="b">
        <f t="shared" si="26"/>
        <v>1</v>
      </c>
    </row>
    <row r="608" spans="1:41" x14ac:dyDescent="0.2">
      <c r="A608" s="6" t="s">
        <v>814</v>
      </c>
      <c r="C608" s="6" t="s">
        <v>253</v>
      </c>
      <c r="E608" s="8">
        <v>12280</v>
      </c>
      <c r="G608" s="8">
        <v>0</v>
      </c>
      <c r="I608" s="8">
        <v>0</v>
      </c>
      <c r="K608" s="8">
        <v>0</v>
      </c>
      <c r="M608" s="8">
        <v>0</v>
      </c>
      <c r="O608" s="8">
        <v>29867</v>
      </c>
      <c r="Q608" s="8">
        <v>48440</v>
      </c>
      <c r="S608" s="8">
        <v>0</v>
      </c>
      <c r="U608" s="8">
        <v>0</v>
      </c>
      <c r="W608" s="8">
        <v>0</v>
      </c>
      <c r="Y608" s="8">
        <v>1014</v>
      </c>
      <c r="AA608" s="8">
        <v>0</v>
      </c>
      <c r="AC608" s="8">
        <v>0</v>
      </c>
      <c r="AE608" s="8">
        <f t="shared" si="24"/>
        <v>91601</v>
      </c>
      <c r="AF608" s="8"/>
      <c r="AG608" s="55"/>
      <c r="AH608" s="55"/>
      <c r="AI608" s="55"/>
      <c r="AJ608" s="55"/>
      <c r="AK608" s="55"/>
      <c r="AL608" s="8">
        <f>+'Gov Rev'!AI605-'Gov Exp'!AE608+'Gov Exp'!AI608-'Gov Exp'!AK608</f>
        <v>-1930</v>
      </c>
      <c r="AM608" s="6" t="str">
        <f>'Gov Rev'!A605</f>
        <v>Trimble</v>
      </c>
      <c r="AN608" s="6" t="str">
        <f t="shared" si="25"/>
        <v>Trimble</v>
      </c>
      <c r="AO608" s="6" t="b">
        <f t="shared" si="26"/>
        <v>1</v>
      </c>
    </row>
    <row r="609" spans="1:41" x14ac:dyDescent="0.2">
      <c r="A609" s="6" t="s">
        <v>521</v>
      </c>
      <c r="C609" s="6" t="s">
        <v>521</v>
      </c>
      <c r="E609" s="8">
        <v>65437.27</v>
      </c>
      <c r="G609" s="8">
        <v>246.25</v>
      </c>
      <c r="I609" s="8">
        <v>24893.56</v>
      </c>
      <c r="K609" s="8">
        <v>10603.6</v>
      </c>
      <c r="M609" s="8">
        <v>40859.949999999997</v>
      </c>
      <c r="O609" s="8">
        <v>152482.29999999999</v>
      </c>
      <c r="Q609" s="8">
        <v>100701.9</v>
      </c>
      <c r="S609" s="8">
        <v>13750.12</v>
      </c>
      <c r="U609" s="8">
        <v>0</v>
      </c>
      <c r="W609" s="8">
        <v>0</v>
      </c>
      <c r="Y609" s="8">
        <v>0</v>
      </c>
      <c r="AA609" s="8">
        <v>0</v>
      </c>
      <c r="AC609" s="8">
        <v>0</v>
      </c>
      <c r="AE609" s="8">
        <f t="shared" si="24"/>
        <v>408974.94999999995</v>
      </c>
      <c r="AF609" s="8"/>
      <c r="AG609" s="55">
        <v>-47660.76</v>
      </c>
      <c r="AH609" s="55"/>
      <c r="AI609" s="55">
        <v>347905.78</v>
      </c>
      <c r="AJ609" s="55"/>
      <c r="AK609" s="55">
        <v>300245.02</v>
      </c>
      <c r="AL609" s="8">
        <f>+'Gov Rev'!AI606-'Gov Exp'!AE609+'Gov Exp'!AI609-'Gov Exp'!AK609</f>
        <v>0</v>
      </c>
      <c r="AM609" s="6" t="str">
        <f>'Gov Rev'!A606</f>
        <v>Tuscarawas</v>
      </c>
      <c r="AN609" s="6" t="str">
        <f t="shared" si="25"/>
        <v>Tuscarawas</v>
      </c>
      <c r="AO609" s="6" t="b">
        <f t="shared" si="26"/>
        <v>1</v>
      </c>
    </row>
    <row r="610" spans="1:41" x14ac:dyDescent="0.2">
      <c r="A610" s="6" t="s">
        <v>314</v>
      </c>
      <c r="C610" s="6" t="s">
        <v>306</v>
      </c>
      <c r="E610" s="8">
        <v>530710</v>
      </c>
      <c r="G610" s="8">
        <v>3753</v>
      </c>
      <c r="I610" s="8">
        <v>1315</v>
      </c>
      <c r="K610" s="8">
        <v>0</v>
      </c>
      <c r="M610" s="8">
        <v>67839</v>
      </c>
      <c r="O610" s="8">
        <v>76784</v>
      </c>
      <c r="Q610" s="8">
        <v>159547</v>
      </c>
      <c r="S610" s="8">
        <v>43742</v>
      </c>
      <c r="U610" s="8">
        <v>86087</v>
      </c>
      <c r="W610" s="8">
        <v>12910</v>
      </c>
      <c r="Y610" s="8">
        <v>98997</v>
      </c>
      <c r="AA610" s="8">
        <v>0</v>
      </c>
      <c r="AC610" s="8">
        <v>0</v>
      </c>
      <c r="AE610" s="8">
        <f t="shared" si="24"/>
        <v>1081684</v>
      </c>
      <c r="AF610" s="8"/>
      <c r="AG610" s="55"/>
      <c r="AH610" s="55"/>
      <c r="AI610" s="55"/>
      <c r="AJ610" s="55"/>
      <c r="AK610" s="55"/>
      <c r="AL610" s="8">
        <f>+'Gov Rev'!AI607-'Gov Exp'!AE610+'Gov Exp'!AI610-'Gov Exp'!AK610</f>
        <v>69434</v>
      </c>
      <c r="AM610" s="6" t="str">
        <f>'Gov Rev'!A607</f>
        <v>Union City</v>
      </c>
      <c r="AN610" s="6" t="str">
        <f t="shared" si="25"/>
        <v>Union City</v>
      </c>
      <c r="AO610" s="6" t="b">
        <f t="shared" si="26"/>
        <v>1</v>
      </c>
    </row>
    <row r="611" spans="1:41" x14ac:dyDescent="0.2">
      <c r="A611" s="6" t="s">
        <v>530</v>
      </c>
      <c r="C611" s="6" t="s">
        <v>531</v>
      </c>
      <c r="E611" s="8">
        <v>3244.19</v>
      </c>
      <c r="G611" s="8">
        <v>0</v>
      </c>
      <c r="I611" s="8">
        <v>1500</v>
      </c>
      <c r="K611" s="8">
        <v>487.5</v>
      </c>
      <c r="M611" s="8">
        <v>277.77999999999997</v>
      </c>
      <c r="O611" s="8">
        <v>1731.67</v>
      </c>
      <c r="Q611" s="8">
        <v>11027.35</v>
      </c>
      <c r="S611" s="8">
        <v>0</v>
      </c>
      <c r="U611" s="8">
        <v>0</v>
      </c>
      <c r="W611" s="8">
        <v>0</v>
      </c>
      <c r="Y611" s="8">
        <v>0</v>
      </c>
      <c r="AA611" s="8">
        <v>0</v>
      </c>
      <c r="AC611" s="8">
        <v>0</v>
      </c>
      <c r="AE611" s="8">
        <f t="shared" si="24"/>
        <v>18268.490000000002</v>
      </c>
      <c r="AF611" s="8"/>
      <c r="AG611" s="55">
        <v>11212.21</v>
      </c>
      <c r="AH611" s="55"/>
      <c r="AI611" s="55">
        <v>105609.16</v>
      </c>
      <c r="AJ611" s="55"/>
      <c r="AK611" s="55">
        <v>116821.37</v>
      </c>
      <c r="AL611" s="8">
        <f>+'Gov Rev'!AI608-'Gov Exp'!AE611+'Gov Exp'!AI611-'Gov Exp'!AK611</f>
        <v>0</v>
      </c>
      <c r="AM611" s="6" t="str">
        <f>'Gov Rev'!A608</f>
        <v>Unionville Center</v>
      </c>
      <c r="AN611" s="6" t="str">
        <f t="shared" si="25"/>
        <v>Unionville Center</v>
      </c>
      <c r="AO611" s="6" t="b">
        <f t="shared" si="26"/>
        <v>1</v>
      </c>
    </row>
    <row r="612" spans="1:41" x14ac:dyDescent="0.2">
      <c r="A612" s="6" t="s">
        <v>13</v>
      </c>
      <c r="C612" s="6" t="s">
        <v>257</v>
      </c>
      <c r="E612" s="8">
        <v>6821.52</v>
      </c>
      <c r="G612" s="8">
        <v>0</v>
      </c>
      <c r="I612" s="8">
        <v>1804</v>
      </c>
      <c r="K612" s="8">
        <v>0</v>
      </c>
      <c r="M612" s="8">
        <v>602.05999999999995</v>
      </c>
      <c r="O612" s="8">
        <v>2297.46</v>
      </c>
      <c r="Q612" s="8">
        <v>28655.69</v>
      </c>
      <c r="S612" s="8">
        <v>0</v>
      </c>
      <c r="U612" s="8">
        <v>0</v>
      </c>
      <c r="W612" s="8">
        <v>0</v>
      </c>
      <c r="Y612" s="8">
        <v>0</v>
      </c>
      <c r="AA612" s="8">
        <v>0</v>
      </c>
      <c r="AC612" s="8">
        <v>0</v>
      </c>
      <c r="AE612" s="8">
        <f t="shared" ref="AE612:AE678" si="27">SUM(E612:AC612)</f>
        <v>40180.729999999996</v>
      </c>
      <c r="AF612" s="8"/>
      <c r="AG612" s="55">
        <v>12472.09</v>
      </c>
      <c r="AH612" s="55"/>
      <c r="AI612" s="55">
        <v>98350.5</v>
      </c>
      <c r="AJ612" s="55"/>
      <c r="AK612" s="55">
        <v>110822.59</v>
      </c>
      <c r="AL612" s="8">
        <f>+'Gov Rev'!AI612-'Gov Exp'!AE612+'Gov Exp'!AI612-'Gov Exp'!AK612</f>
        <v>0</v>
      </c>
      <c r="AM612" s="6" t="str">
        <f>'Gov Rev'!A612</f>
        <v>Uniopolis</v>
      </c>
      <c r="AN612" s="6" t="str">
        <f t="shared" ref="AN612:AN678" si="28">A612</f>
        <v>Uniopolis</v>
      </c>
      <c r="AO612" s="6" t="b">
        <f t="shared" ref="AO612:AO678" si="29">AM612=AN612</f>
        <v>1</v>
      </c>
    </row>
    <row r="613" spans="1:41" x14ac:dyDescent="0.2">
      <c r="A613" s="6" t="s">
        <v>71</v>
      </c>
      <c r="C613" s="6" t="s">
        <v>329</v>
      </c>
      <c r="E613" s="8">
        <v>29825.75</v>
      </c>
      <c r="G613" s="8">
        <v>0</v>
      </c>
      <c r="I613" s="8">
        <v>27202.93</v>
      </c>
      <c r="K613" s="8">
        <v>11565.85</v>
      </c>
      <c r="M613" s="8">
        <v>0</v>
      </c>
      <c r="O613" s="8">
        <v>130712.7</v>
      </c>
      <c r="Q613" s="8">
        <v>367560.12</v>
      </c>
      <c r="S613" s="8">
        <v>0</v>
      </c>
      <c r="U613" s="8">
        <v>71288.55</v>
      </c>
      <c r="W613" s="8">
        <v>6426.76</v>
      </c>
      <c r="Y613" s="8">
        <v>77891.12</v>
      </c>
      <c r="AA613" s="8">
        <v>0</v>
      </c>
      <c r="AC613" s="8">
        <v>184689.62</v>
      </c>
      <c r="AE613" s="8">
        <f t="shared" si="27"/>
        <v>907163.4</v>
      </c>
      <c r="AF613" s="8"/>
      <c r="AG613" s="55">
        <v>330290.78000000003</v>
      </c>
      <c r="AH613" s="55"/>
      <c r="AI613" s="55">
        <v>2624553.77</v>
      </c>
      <c r="AJ613" s="55"/>
      <c r="AK613" s="55">
        <v>2954844.55</v>
      </c>
      <c r="AL613" s="8">
        <f>+'Gov Rev'!AI613-'Gov Exp'!AE613+'Gov Exp'!AI613-'Gov Exp'!AK613</f>
        <v>0</v>
      </c>
      <c r="AM613" s="6" t="str">
        <f>'Gov Rev'!A613</f>
        <v>Urbancrest</v>
      </c>
      <c r="AN613" s="6" t="str">
        <f t="shared" si="28"/>
        <v>Urbancrest</v>
      </c>
      <c r="AO613" s="6" t="b">
        <f t="shared" si="29"/>
        <v>1</v>
      </c>
    </row>
    <row r="614" spans="1:41" x14ac:dyDescent="0.2">
      <c r="A614" s="6" t="s">
        <v>413</v>
      </c>
      <c r="C614" s="6" t="s">
        <v>408</v>
      </c>
      <c r="E614" s="8">
        <f>345610+6472</f>
        <v>352082</v>
      </c>
      <c r="G614" s="8">
        <v>4927</v>
      </c>
      <c r="I614" s="8">
        <v>829</v>
      </c>
      <c r="K614" s="8">
        <v>12515</v>
      </c>
      <c r="M614" s="8">
        <v>26896</v>
      </c>
      <c r="O614" s="8">
        <f>133857+26426</f>
        <v>160283</v>
      </c>
      <c r="Q614" s="8">
        <f>212734+428</f>
        <v>213162</v>
      </c>
      <c r="S614" s="8">
        <f>851+11200</f>
        <v>12051</v>
      </c>
      <c r="U614" s="8">
        <v>34700</v>
      </c>
      <c r="W614" s="8">
        <v>0</v>
      </c>
      <c r="Y614" s="8">
        <v>0</v>
      </c>
      <c r="AA614" s="8">
        <v>0</v>
      </c>
      <c r="AC614" s="8">
        <v>0</v>
      </c>
      <c r="AE614" s="8">
        <f t="shared" si="27"/>
        <v>817445</v>
      </c>
      <c r="AF614" s="8"/>
      <c r="AG614" s="55"/>
      <c r="AH614" s="55"/>
      <c r="AI614" s="55"/>
      <c r="AJ614" s="55"/>
      <c r="AK614" s="55"/>
      <c r="AL614" s="8">
        <f>+'Gov Rev'!AI614-'Gov Exp'!AE614+'Gov Exp'!AI614-'Gov Exp'!AK614</f>
        <v>140572</v>
      </c>
      <c r="AM614" s="6" t="str">
        <f>'Gov Rev'!A614</f>
        <v>Utica</v>
      </c>
      <c r="AN614" s="6" t="str">
        <f t="shared" si="28"/>
        <v>Utica</v>
      </c>
      <c r="AO614" s="6" t="b">
        <f t="shared" si="29"/>
        <v>1</v>
      </c>
    </row>
    <row r="615" spans="1:41" x14ac:dyDescent="0.2">
      <c r="A615" s="6" t="s">
        <v>416</v>
      </c>
      <c r="C615" s="6" t="s">
        <v>414</v>
      </c>
      <c r="E615" s="8">
        <v>0</v>
      </c>
      <c r="G615" s="8">
        <v>0</v>
      </c>
      <c r="I615" s="8">
        <v>0</v>
      </c>
      <c r="K615" s="8">
        <v>0</v>
      </c>
      <c r="M615" s="8">
        <v>0</v>
      </c>
      <c r="O615" s="8">
        <v>8460</v>
      </c>
      <c r="Q615" s="8">
        <v>31095</v>
      </c>
      <c r="S615" s="8">
        <v>5643</v>
      </c>
      <c r="U615" s="8">
        <v>0</v>
      </c>
      <c r="W615" s="8">
        <v>0</v>
      </c>
      <c r="Y615" s="8">
        <v>0</v>
      </c>
      <c r="AA615" s="8">
        <v>0</v>
      </c>
      <c r="AC615" s="8">
        <v>0</v>
      </c>
      <c r="AE615" s="8">
        <f t="shared" si="27"/>
        <v>45198</v>
      </c>
      <c r="AF615" s="8"/>
      <c r="AG615" s="55"/>
      <c r="AH615" s="55"/>
      <c r="AI615" s="55"/>
      <c r="AJ615" s="55"/>
      <c r="AK615" s="55"/>
      <c r="AL615" s="8">
        <f>+'Gov Rev'!AI615-'Gov Exp'!AE615+'Gov Exp'!AI615-'Gov Exp'!AK615</f>
        <v>7865</v>
      </c>
      <c r="AM615" s="6" t="str">
        <f>'Gov Rev'!A615</f>
        <v>Valley Hi</v>
      </c>
      <c r="AN615" s="6" t="str">
        <f t="shared" si="28"/>
        <v>Valley Hi</v>
      </c>
      <c r="AO615" s="6" t="b">
        <f t="shared" si="29"/>
        <v>1</v>
      </c>
    </row>
    <row r="616" spans="1:41" x14ac:dyDescent="0.2">
      <c r="A616" s="6" t="s">
        <v>303</v>
      </c>
      <c r="C616" s="6" t="s">
        <v>293</v>
      </c>
      <c r="E616" s="8">
        <v>5020406</v>
      </c>
      <c r="G616" s="8">
        <v>12825</v>
      </c>
      <c r="I616" s="8">
        <v>722351</v>
      </c>
      <c r="K616" s="8">
        <v>0</v>
      </c>
      <c r="M616" s="8">
        <v>392450</v>
      </c>
      <c r="O616" s="8">
        <v>1284843</v>
      </c>
      <c r="Q616" s="8">
        <v>2134172</v>
      </c>
      <c r="S616" s="8">
        <v>3268082</v>
      </c>
      <c r="U616" s="8">
        <v>220000</v>
      </c>
      <c r="W616" s="8">
        <v>89282</v>
      </c>
      <c r="Y616" s="8">
        <v>900100</v>
      </c>
      <c r="AA616" s="8">
        <v>250000</v>
      </c>
      <c r="AC616" s="8">
        <v>0</v>
      </c>
      <c r="AE616" s="8">
        <f t="shared" si="27"/>
        <v>14294511</v>
      </c>
      <c r="AF616" s="8"/>
      <c r="AG616" s="55"/>
      <c r="AH616" s="55"/>
      <c r="AI616" s="55"/>
      <c r="AJ616" s="55"/>
      <c r="AK616" s="55"/>
      <c r="AL616" s="8">
        <f>+'Gov Rev'!AI616-'Gov Exp'!AE616+'Gov Exp'!AI616-'Gov Exp'!AK616</f>
        <v>3084984</v>
      </c>
      <c r="AM616" s="6" t="str">
        <f>'Gov Rev'!A616</f>
        <v>Valley View</v>
      </c>
      <c r="AN616" s="6" t="str">
        <f t="shared" si="28"/>
        <v>Valley View</v>
      </c>
      <c r="AO616" s="6" t="b">
        <f t="shared" si="29"/>
        <v>1</v>
      </c>
    </row>
    <row r="617" spans="1:41" x14ac:dyDescent="0.2">
      <c r="A617" s="6" t="s">
        <v>72</v>
      </c>
      <c r="C617" s="6" t="s">
        <v>329</v>
      </c>
      <c r="E617" s="8">
        <v>206254.43</v>
      </c>
      <c r="G617" s="8">
        <v>0</v>
      </c>
      <c r="I617" s="8">
        <v>7585.19</v>
      </c>
      <c r="K617" s="8">
        <v>0</v>
      </c>
      <c r="M617" s="8">
        <v>0</v>
      </c>
      <c r="O617" s="8">
        <v>8114.61</v>
      </c>
      <c r="Q617" s="8">
        <v>106267.05</v>
      </c>
      <c r="S617" s="8">
        <v>2400.2199999999998</v>
      </c>
      <c r="U617" s="8">
        <v>9829.7199999999993</v>
      </c>
      <c r="W617" s="8">
        <v>0</v>
      </c>
      <c r="Y617" s="8">
        <v>16000</v>
      </c>
      <c r="AA617" s="8">
        <v>0</v>
      </c>
      <c r="AC617" s="8">
        <v>83.97</v>
      </c>
      <c r="AE617" s="8">
        <f t="shared" si="27"/>
        <v>356535.18999999989</v>
      </c>
      <c r="AF617" s="8"/>
      <c r="AG617" s="55">
        <v>26862.1</v>
      </c>
      <c r="AH617" s="55"/>
      <c r="AI617" s="55">
        <v>155734.49</v>
      </c>
      <c r="AJ617" s="55"/>
      <c r="AK617" s="55">
        <v>182596.59</v>
      </c>
      <c r="AL617" s="8">
        <f>+'Gov Rev'!AI617-'Gov Exp'!AE617+'Gov Exp'!AI617-'Gov Exp'!AK617</f>
        <v>0</v>
      </c>
      <c r="AM617" s="6" t="str">
        <f>'Gov Rev'!A617</f>
        <v>Valleyview</v>
      </c>
      <c r="AN617" s="6" t="str">
        <f t="shared" si="28"/>
        <v>Valleyview</v>
      </c>
      <c r="AO617" s="6" t="b">
        <f t="shared" si="29"/>
        <v>1</v>
      </c>
    </row>
    <row r="618" spans="1:41" x14ac:dyDescent="0.2">
      <c r="A618" s="6" t="s">
        <v>363</v>
      </c>
      <c r="C618" s="6" t="s">
        <v>360</v>
      </c>
      <c r="E618" s="8">
        <v>17068.71</v>
      </c>
      <c r="G618" s="8">
        <v>1687.2</v>
      </c>
      <c r="I618" s="8">
        <v>462.23</v>
      </c>
      <c r="K618" s="8">
        <v>3165</v>
      </c>
      <c r="M618" s="8">
        <v>952</v>
      </c>
      <c r="O618" s="8">
        <v>33767.25</v>
      </c>
      <c r="Q618" s="8">
        <v>31825.23</v>
      </c>
      <c r="S618" s="8">
        <v>1043.8699999999999</v>
      </c>
      <c r="U618" s="8">
        <v>93742.15</v>
      </c>
      <c r="W618" s="8">
        <v>88896.84</v>
      </c>
      <c r="Y618" s="8">
        <v>0</v>
      </c>
      <c r="AA618" s="8">
        <v>0</v>
      </c>
      <c r="AC618" s="8">
        <v>0</v>
      </c>
      <c r="AE618" s="8">
        <f t="shared" si="27"/>
        <v>272610.48</v>
      </c>
      <c r="AF618" s="8"/>
      <c r="AG618" s="55">
        <v>4473.62</v>
      </c>
      <c r="AH618" s="55"/>
      <c r="AI618" s="55">
        <v>380277.07</v>
      </c>
      <c r="AJ618" s="55"/>
      <c r="AK618" s="55">
        <v>384750.69</v>
      </c>
      <c r="AL618" s="8">
        <f>+'Gov Rev'!AI618-'Gov Exp'!AE618+'Gov Exp'!AI618-'Gov Exp'!AK618</f>
        <v>0</v>
      </c>
      <c r="AM618" s="6" t="str">
        <f>'Gov Rev'!A618</f>
        <v>Van Buren</v>
      </c>
      <c r="AN618" s="6" t="str">
        <f t="shared" si="28"/>
        <v>Van Buren</v>
      </c>
      <c r="AO618" s="6" t="b">
        <f t="shared" si="29"/>
        <v>1</v>
      </c>
    </row>
    <row r="619" spans="1:41" x14ac:dyDescent="0.2">
      <c r="A619" s="6" t="s">
        <v>364</v>
      </c>
      <c r="C619" s="6" t="s">
        <v>360</v>
      </c>
      <c r="E619" s="8">
        <v>21032.23</v>
      </c>
      <c r="G619" s="8">
        <v>1450.42</v>
      </c>
      <c r="I619" s="8">
        <v>704.3</v>
      </c>
      <c r="K619" s="8">
        <v>204.88</v>
      </c>
      <c r="M619" s="8">
        <v>0</v>
      </c>
      <c r="O619" s="8">
        <v>14063.7</v>
      </c>
      <c r="Q619" s="8">
        <v>30116.55</v>
      </c>
      <c r="S619" s="8">
        <v>4200</v>
      </c>
      <c r="U619" s="8">
        <v>1000</v>
      </c>
      <c r="W619" s="8">
        <v>1695.31</v>
      </c>
      <c r="Y619" s="8">
        <v>0</v>
      </c>
      <c r="AA619" s="8">
        <v>0</v>
      </c>
      <c r="AC619" s="8">
        <v>546.84</v>
      </c>
      <c r="AE619" s="8">
        <f t="shared" si="27"/>
        <v>75014.23</v>
      </c>
      <c r="AF619" s="8"/>
      <c r="AG619" s="55">
        <v>9978.2999999999993</v>
      </c>
      <c r="AH619" s="55"/>
      <c r="AI619" s="55">
        <v>144655.22</v>
      </c>
      <c r="AJ619" s="55"/>
      <c r="AK619" s="55">
        <v>154633.51999999999</v>
      </c>
      <c r="AL619" s="8">
        <f>+'Gov Rev'!AI619-'Gov Exp'!AE619+'Gov Exp'!AI619-'Gov Exp'!AK619</f>
        <v>0</v>
      </c>
      <c r="AM619" s="6" t="str">
        <f>'Gov Rev'!A619</f>
        <v>Vanlue</v>
      </c>
      <c r="AN619" s="6" t="str">
        <f t="shared" si="28"/>
        <v>Vanlue</v>
      </c>
      <c r="AO619" s="6" t="b">
        <f t="shared" si="29"/>
        <v>1</v>
      </c>
    </row>
    <row r="620" spans="1:41" x14ac:dyDescent="0.2">
      <c r="A620" s="6" t="s">
        <v>535</v>
      </c>
      <c r="C620" s="6" t="s">
        <v>532</v>
      </c>
      <c r="E620" s="8">
        <v>4166.24</v>
      </c>
      <c r="G620" s="8">
        <v>707.24</v>
      </c>
      <c r="I620" s="8">
        <v>2162.9299999999998</v>
      </c>
      <c r="K620" s="8">
        <v>0</v>
      </c>
      <c r="M620" s="8">
        <v>0</v>
      </c>
      <c r="O620" s="8">
        <v>12514.59</v>
      </c>
      <c r="Q620" s="8">
        <v>10978.43</v>
      </c>
      <c r="S620" s="8">
        <v>0</v>
      </c>
      <c r="U620" s="8">
        <v>0</v>
      </c>
      <c r="W620" s="8">
        <v>0</v>
      </c>
      <c r="Y620" s="8">
        <v>0</v>
      </c>
      <c r="AA620" s="8">
        <v>0</v>
      </c>
      <c r="AC620" s="8">
        <v>0</v>
      </c>
      <c r="AE620" s="8">
        <f t="shared" si="27"/>
        <v>30529.43</v>
      </c>
      <c r="AF620" s="8"/>
      <c r="AG620" s="55">
        <v>-9847.69</v>
      </c>
      <c r="AH620" s="55"/>
      <c r="AI620" s="55">
        <v>78210.16</v>
      </c>
      <c r="AJ620" s="55"/>
      <c r="AK620" s="55">
        <v>68362.47</v>
      </c>
      <c r="AL620" s="8">
        <f>+'Gov Rev'!AI620-'Gov Exp'!AE620+'Gov Exp'!AI620-'Gov Exp'!AK620</f>
        <v>0</v>
      </c>
      <c r="AM620" s="6" t="str">
        <f>'Gov Rev'!A620</f>
        <v>Venedocia</v>
      </c>
      <c r="AN620" s="6" t="str">
        <f t="shared" si="28"/>
        <v>Venedocia</v>
      </c>
      <c r="AO620" s="6" t="b">
        <f t="shared" si="29"/>
        <v>1</v>
      </c>
    </row>
    <row r="621" spans="1:41" x14ac:dyDescent="0.2">
      <c r="A621" s="6" t="s">
        <v>474</v>
      </c>
      <c r="C621" s="6" t="s">
        <v>472</v>
      </c>
      <c r="E621" s="8">
        <v>0</v>
      </c>
      <c r="G621" s="8">
        <v>0</v>
      </c>
      <c r="I621" s="8">
        <v>0</v>
      </c>
      <c r="K621" s="8">
        <v>1156</v>
      </c>
      <c r="M621" s="8">
        <v>0</v>
      </c>
      <c r="O621" s="8">
        <v>1966</v>
      </c>
      <c r="Q621" s="8">
        <v>440080</v>
      </c>
      <c r="S621" s="8">
        <v>239065</v>
      </c>
      <c r="U621" s="8">
        <v>62835</v>
      </c>
      <c r="W621" s="8">
        <v>71631</v>
      </c>
      <c r="Y621" s="8">
        <v>100592</v>
      </c>
      <c r="AA621" s="8">
        <v>0</v>
      </c>
      <c r="AC621" s="8">
        <v>0</v>
      </c>
      <c r="AE621" s="8">
        <f t="shared" si="27"/>
        <v>917325</v>
      </c>
      <c r="AF621" s="8"/>
      <c r="AG621" s="55"/>
      <c r="AH621" s="55"/>
      <c r="AI621" s="55"/>
      <c r="AJ621" s="55"/>
      <c r="AK621" s="55"/>
      <c r="AL621" s="8">
        <f>+'Gov Rev'!AI621-'Gov Exp'!AE621+'Gov Exp'!AI621-'Gov Exp'!AK621</f>
        <v>120052</v>
      </c>
      <c r="AM621" s="6" t="str">
        <f>'Gov Rev'!A621</f>
        <v>Verona</v>
      </c>
      <c r="AN621" s="6" t="str">
        <f t="shared" si="28"/>
        <v>Verona</v>
      </c>
      <c r="AO621" s="6" t="b">
        <f t="shared" si="29"/>
        <v>1</v>
      </c>
    </row>
    <row r="622" spans="1:41" x14ac:dyDescent="0.2">
      <c r="A622" s="6" t="s">
        <v>315</v>
      </c>
      <c r="C622" s="6" t="s">
        <v>306</v>
      </c>
      <c r="E622" s="8">
        <v>832394</v>
      </c>
      <c r="G622" s="8">
        <v>36179</v>
      </c>
      <c r="I622" s="8">
        <v>74150</v>
      </c>
      <c r="K622" s="8">
        <v>23198</v>
      </c>
      <c r="M622" s="8">
        <v>0</v>
      </c>
      <c r="O622" s="8">
        <v>349108</v>
      </c>
      <c r="Q622" s="8">
        <v>190954</v>
      </c>
      <c r="S622" s="8">
        <v>1974676</v>
      </c>
      <c r="U622" s="8">
        <v>695358</v>
      </c>
      <c r="W622" s="8">
        <v>310896</v>
      </c>
      <c r="Y622" s="8">
        <v>1083385</v>
      </c>
      <c r="AA622" s="8">
        <v>450000</v>
      </c>
      <c r="AC622" s="8">
        <v>68926</v>
      </c>
      <c r="AE622" s="8">
        <f t="shared" si="27"/>
        <v>6089224</v>
      </c>
      <c r="AF622" s="8"/>
      <c r="AG622" s="55"/>
      <c r="AH622" s="55"/>
      <c r="AI622" s="55"/>
      <c r="AJ622" s="55"/>
      <c r="AK622" s="55"/>
      <c r="AL622" s="8">
        <f>+'Gov Rev'!AI622-'Gov Exp'!AE622+'Gov Exp'!AI622-'Gov Exp'!AK622</f>
        <v>-39731</v>
      </c>
      <c r="AM622" s="6" t="str">
        <f>'Gov Rev'!A622</f>
        <v>Versailles</v>
      </c>
      <c r="AN622" s="6" t="str">
        <f t="shared" si="28"/>
        <v>Versailles</v>
      </c>
      <c r="AO622" s="6" t="b">
        <f t="shared" si="29"/>
        <v>1</v>
      </c>
    </row>
    <row r="623" spans="1:41" x14ac:dyDescent="0.2">
      <c r="A623" s="6" t="s">
        <v>77</v>
      </c>
      <c r="C623" s="6" t="s">
        <v>338</v>
      </c>
      <c r="E623" s="8">
        <v>31384.36</v>
      </c>
      <c r="G623" s="8">
        <v>34406.769999999997</v>
      </c>
      <c r="I623" s="8">
        <v>15025.05</v>
      </c>
      <c r="K623" s="8">
        <v>0</v>
      </c>
      <c r="M623" s="8">
        <v>4298.5600000000004</v>
      </c>
      <c r="O623" s="8">
        <v>11837.33</v>
      </c>
      <c r="Q623" s="8">
        <v>32999.57</v>
      </c>
      <c r="S623" s="8">
        <v>0</v>
      </c>
      <c r="U623" s="8">
        <v>0</v>
      </c>
      <c r="W623" s="8">
        <v>0</v>
      </c>
      <c r="Y623" s="8">
        <v>0</v>
      </c>
      <c r="AA623" s="8">
        <v>0</v>
      </c>
      <c r="AC623" s="8">
        <v>0</v>
      </c>
      <c r="AE623" s="8">
        <f t="shared" si="27"/>
        <v>129951.64000000001</v>
      </c>
      <c r="AF623" s="8"/>
      <c r="AG623" s="55">
        <v>-24106.12</v>
      </c>
      <c r="AH623" s="55"/>
      <c r="AI623" s="55">
        <v>31597.759999999998</v>
      </c>
      <c r="AJ623" s="55"/>
      <c r="AK623" s="55">
        <v>7491.64</v>
      </c>
      <c r="AL623" s="8">
        <f>+'Gov Rev'!AI623-'Gov Exp'!AE623+'Gov Exp'!AI623-'Gov Exp'!AK623</f>
        <v>-2.6375346351414919E-11</v>
      </c>
      <c r="AM623" s="6" t="str">
        <f>'Gov Rev'!A623</f>
        <v>Vinton</v>
      </c>
      <c r="AN623" s="6" t="str">
        <f t="shared" si="28"/>
        <v>Vinton</v>
      </c>
      <c r="AO623" s="6" t="b">
        <f t="shared" si="29"/>
        <v>1</v>
      </c>
    </row>
    <row r="624" spans="1:41" x14ac:dyDescent="0.2">
      <c r="A624" s="6" t="s">
        <v>404</v>
      </c>
      <c r="C624" s="6" t="s">
        <v>399</v>
      </c>
      <c r="E624" s="8">
        <v>613176</v>
      </c>
      <c r="G624" s="8">
        <v>14403</v>
      </c>
      <c r="I624" s="8">
        <v>0</v>
      </c>
      <c r="K624" s="8">
        <v>7851</v>
      </c>
      <c r="M624" s="8">
        <v>35617</v>
      </c>
      <c r="O624" s="8">
        <v>343339</v>
      </c>
      <c r="Q624" s="8">
        <v>241867</v>
      </c>
      <c r="S624" s="8">
        <v>17752</v>
      </c>
      <c r="U624" s="8">
        <v>5000</v>
      </c>
      <c r="W624" s="8">
        <v>80993</v>
      </c>
      <c r="Y624" s="8">
        <v>60000</v>
      </c>
      <c r="AA624" s="8">
        <v>0</v>
      </c>
      <c r="AC624" s="8">
        <v>0</v>
      </c>
      <c r="AE624" s="8">
        <f t="shared" si="27"/>
        <v>1419998</v>
      </c>
      <c r="AF624" s="8"/>
      <c r="AG624" s="55"/>
      <c r="AH624" s="55"/>
      <c r="AI624" s="55"/>
      <c r="AJ624" s="55"/>
      <c r="AK624" s="55"/>
      <c r="AL624" s="8">
        <f>+'Gov Rev'!AI624-'Gov Exp'!AE624+'Gov Exp'!AI624-'Gov Exp'!AK624</f>
        <v>35603</v>
      </c>
      <c r="AM624" s="6" t="str">
        <f>'Gov Rev'!A624</f>
        <v>Waite Hill</v>
      </c>
      <c r="AN624" s="6" t="str">
        <f t="shared" si="28"/>
        <v>Waite Hill</v>
      </c>
      <c r="AO624" s="6" t="b">
        <f t="shared" si="29"/>
        <v>1</v>
      </c>
    </row>
    <row r="625" spans="1:41" x14ac:dyDescent="0.2">
      <c r="A625" s="6" t="s">
        <v>389</v>
      </c>
      <c r="C625" s="6" t="s">
        <v>386</v>
      </c>
      <c r="E625" s="8">
        <v>166235.16</v>
      </c>
      <c r="G625" s="8">
        <v>949.24</v>
      </c>
      <c r="I625" s="8">
        <v>31708.57</v>
      </c>
      <c r="K625" s="8">
        <v>1385.4</v>
      </c>
      <c r="M625" s="8">
        <v>3695.34</v>
      </c>
      <c r="O625" s="8">
        <v>146265.44</v>
      </c>
      <c r="Q625" s="8">
        <v>119474.47</v>
      </c>
      <c r="S625" s="8">
        <v>160445.01</v>
      </c>
      <c r="U625" s="8">
        <v>579.9</v>
      </c>
      <c r="W625" s="8">
        <v>0</v>
      </c>
      <c r="Y625" s="8">
        <v>105100</v>
      </c>
      <c r="AA625" s="8">
        <v>0</v>
      </c>
      <c r="AC625" s="8">
        <v>0</v>
      </c>
      <c r="AE625" s="8">
        <f t="shared" si="27"/>
        <v>735838.53</v>
      </c>
      <c r="AF625" s="8"/>
      <c r="AG625" s="55">
        <v>-55523.86</v>
      </c>
      <c r="AH625" s="55"/>
      <c r="AI625" s="55">
        <v>522726.87</v>
      </c>
      <c r="AJ625" s="55"/>
      <c r="AK625" s="55">
        <v>467203.01</v>
      </c>
      <c r="AL625" s="8">
        <f>+'Gov Rev'!AI625-'Gov Exp'!AE625+'Gov Exp'!AI625-'Gov Exp'!AK625</f>
        <v>0</v>
      </c>
      <c r="AM625" s="6" t="str">
        <f>'Gov Rev'!A625</f>
        <v>Wakeman</v>
      </c>
      <c r="AN625" s="6" t="str">
        <f t="shared" si="28"/>
        <v>Wakeman</v>
      </c>
      <c r="AO625" s="6" t="b">
        <f t="shared" si="29"/>
        <v>1</v>
      </c>
    </row>
    <row r="626" spans="1:41" x14ac:dyDescent="0.2">
      <c r="A626" s="6" t="s">
        <v>243</v>
      </c>
      <c r="C626" s="6" t="s">
        <v>558</v>
      </c>
      <c r="E626" s="8">
        <v>475309.01</v>
      </c>
      <c r="G626" s="8">
        <v>1858.22</v>
      </c>
      <c r="I626" s="8">
        <v>66670.179999999993</v>
      </c>
      <c r="K626" s="8">
        <v>0</v>
      </c>
      <c r="M626" s="8">
        <v>0</v>
      </c>
      <c r="O626" s="8">
        <v>147558.29999999999</v>
      </c>
      <c r="Q626" s="8">
        <v>527928.9</v>
      </c>
      <c r="S626" s="8">
        <v>150976.18</v>
      </c>
      <c r="U626" s="8">
        <v>2630.18</v>
      </c>
      <c r="W626" s="8">
        <v>7067.8</v>
      </c>
      <c r="Y626" s="8">
        <v>0</v>
      </c>
      <c r="AA626" s="8">
        <v>0</v>
      </c>
      <c r="AC626" s="8">
        <v>0</v>
      </c>
      <c r="AE626" s="8">
        <f t="shared" si="27"/>
        <v>1379998.7699999998</v>
      </c>
      <c r="AF626" s="8"/>
      <c r="AG626" s="55">
        <v>-72763.460000000006</v>
      </c>
      <c r="AH626" s="55"/>
      <c r="AI626" s="55">
        <v>1766994.74</v>
      </c>
      <c r="AJ626" s="55"/>
      <c r="AK626" s="55">
        <v>1694231.28</v>
      </c>
      <c r="AL626" s="8">
        <f>+'Gov Rev'!AI626-'Gov Exp'!AE626+'Gov Exp'!AI626-'Gov Exp'!AK626</f>
        <v>0</v>
      </c>
      <c r="AM626" s="6" t="str">
        <f>'Gov Rev'!A626</f>
        <v>Walbridge</v>
      </c>
      <c r="AN626" s="6" t="str">
        <f t="shared" si="28"/>
        <v>Walbridge</v>
      </c>
      <c r="AO626" s="6" t="b">
        <f t="shared" si="29"/>
        <v>1</v>
      </c>
    </row>
    <row r="627" spans="1:41" x14ac:dyDescent="0.2">
      <c r="A627" s="6" t="s">
        <v>141</v>
      </c>
      <c r="C627" s="6" t="s">
        <v>430</v>
      </c>
      <c r="E627" s="8">
        <v>7476.13</v>
      </c>
      <c r="G627" s="8">
        <v>877.76</v>
      </c>
      <c r="I627" s="8">
        <v>0</v>
      </c>
      <c r="K627" s="8">
        <v>1227.77</v>
      </c>
      <c r="M627" s="8">
        <v>35374.18</v>
      </c>
      <c r="O627" s="8">
        <v>2963.18</v>
      </c>
      <c r="Q627" s="8">
        <v>35961.31</v>
      </c>
      <c r="S627" s="8">
        <v>0</v>
      </c>
      <c r="U627" s="8">
        <v>0</v>
      </c>
      <c r="W627" s="8">
        <v>0</v>
      </c>
      <c r="Y627" s="8">
        <v>0</v>
      </c>
      <c r="AA627" s="8">
        <v>0</v>
      </c>
      <c r="AC627" s="8">
        <v>0</v>
      </c>
      <c r="AE627" s="8">
        <f t="shared" si="27"/>
        <v>83880.329999999987</v>
      </c>
      <c r="AF627" s="8"/>
      <c r="AG627" s="55">
        <v>-12843.79</v>
      </c>
      <c r="AH627" s="55"/>
      <c r="AI627" s="55">
        <v>330702.12</v>
      </c>
      <c r="AJ627" s="55"/>
      <c r="AK627" s="55">
        <v>317858.33</v>
      </c>
      <c r="AL627" s="8">
        <f>+'Gov Rev'!AI627-'Gov Exp'!AE627+'Gov Exp'!AI627-'Gov Exp'!AK627</f>
        <v>0</v>
      </c>
      <c r="AM627" s="6" t="str">
        <f>'Gov Rev'!A627</f>
        <v>Waldo</v>
      </c>
      <c r="AN627" s="6" t="str">
        <f t="shared" si="28"/>
        <v>Waldo</v>
      </c>
      <c r="AO627" s="6" t="b">
        <f t="shared" si="29"/>
        <v>1</v>
      </c>
    </row>
    <row r="628" spans="1:41" x14ac:dyDescent="0.2">
      <c r="A628" s="6" t="s">
        <v>48</v>
      </c>
      <c r="C628" s="6" t="s">
        <v>293</v>
      </c>
      <c r="E628" s="8">
        <v>2485660.9</v>
      </c>
      <c r="G628" s="8">
        <v>10004.94</v>
      </c>
      <c r="I628" s="8">
        <v>180880.98</v>
      </c>
      <c r="K628" s="8">
        <v>89311.72</v>
      </c>
      <c r="M628" s="8">
        <v>250786.27</v>
      </c>
      <c r="O628" s="8">
        <v>751215.43</v>
      </c>
      <c r="Q628" s="8">
        <v>759430.93</v>
      </c>
      <c r="S628" s="8">
        <v>620296.79</v>
      </c>
      <c r="U628" s="8">
        <v>226058.61</v>
      </c>
      <c r="W628" s="8">
        <v>10353.56</v>
      </c>
      <c r="Y628" s="8">
        <v>548300</v>
      </c>
      <c r="AA628" s="8">
        <v>0</v>
      </c>
      <c r="AC628" s="8">
        <v>0</v>
      </c>
      <c r="AE628" s="8">
        <f t="shared" si="27"/>
        <v>5932300.1299999999</v>
      </c>
      <c r="AF628" s="8"/>
      <c r="AG628" s="55">
        <v>715868.72</v>
      </c>
      <c r="AH628" s="55"/>
      <c r="AI628" s="55">
        <v>2786365.79</v>
      </c>
      <c r="AJ628" s="55"/>
      <c r="AK628" s="55">
        <v>3502234.51</v>
      </c>
      <c r="AL628" s="8">
        <f>+'Gov Rev'!AI628-'Gov Exp'!AE628+'Gov Exp'!AI628-'Gov Exp'!AK628</f>
        <v>0</v>
      </c>
      <c r="AM628" s="6" t="str">
        <f>'Gov Rev'!A628</f>
        <v>Walton Hills</v>
      </c>
      <c r="AN628" s="6" t="str">
        <f t="shared" si="28"/>
        <v>Walton Hills</v>
      </c>
      <c r="AO628" s="6" t="b">
        <f t="shared" si="29"/>
        <v>1</v>
      </c>
    </row>
    <row r="629" spans="1:41" x14ac:dyDescent="0.2">
      <c r="A629" s="6" t="s">
        <v>718</v>
      </c>
      <c r="C629" s="6" t="s">
        <v>285</v>
      </c>
      <c r="E629" s="8">
        <v>38360.89</v>
      </c>
      <c r="G629" s="8">
        <v>18328.14</v>
      </c>
      <c r="I629" s="8">
        <v>118663.42</v>
      </c>
      <c r="K629" s="8">
        <v>18767.18</v>
      </c>
      <c r="M629" s="8">
        <v>16828.27</v>
      </c>
      <c r="O629" s="8">
        <v>34978.54</v>
      </c>
      <c r="Q629" s="8">
        <v>50211.199999999997</v>
      </c>
      <c r="S629" s="8">
        <v>0</v>
      </c>
      <c r="U629" s="8">
        <v>2888.08</v>
      </c>
      <c r="W629" s="8">
        <v>174.41</v>
      </c>
      <c r="Y629" s="8">
        <v>0</v>
      </c>
      <c r="AA629" s="8">
        <v>0</v>
      </c>
      <c r="AC629" s="8">
        <v>0</v>
      </c>
      <c r="AE629" s="8">
        <f t="shared" si="27"/>
        <v>299200.13</v>
      </c>
      <c r="AF629" s="8"/>
      <c r="AG629" s="55">
        <v>-3152.23</v>
      </c>
      <c r="AH629" s="55"/>
      <c r="AI629" s="55">
        <v>343538.25</v>
      </c>
      <c r="AJ629" s="55"/>
      <c r="AK629" s="55">
        <v>340386.02</v>
      </c>
      <c r="AL629" s="8">
        <f>+'Gov Rev'!AI629-'Gov Exp'!AE629+'Gov Exp'!AI629-'Gov Exp'!AK629</f>
        <v>0</v>
      </c>
      <c r="AM629" s="6" t="str">
        <f>'Gov Rev'!A629</f>
        <v>Warsaw</v>
      </c>
      <c r="AN629" s="6" t="str">
        <f t="shared" si="28"/>
        <v>Warsaw</v>
      </c>
      <c r="AO629" s="6" t="b">
        <f t="shared" si="29"/>
        <v>1</v>
      </c>
    </row>
    <row r="630" spans="1:41" x14ac:dyDescent="0.2">
      <c r="A630" s="6" t="s">
        <v>46</v>
      </c>
      <c r="C630" s="6" t="s">
        <v>283</v>
      </c>
      <c r="E630" s="8">
        <v>132837.97</v>
      </c>
      <c r="G630" s="8">
        <v>683.82</v>
      </c>
      <c r="I630" s="8">
        <v>178.61</v>
      </c>
      <c r="K630" s="8">
        <v>0</v>
      </c>
      <c r="M630" s="8">
        <v>0</v>
      </c>
      <c r="O630" s="8">
        <v>46153.120000000003</v>
      </c>
      <c r="Q630" s="8">
        <v>53854.06</v>
      </c>
      <c r="S630" s="8">
        <v>38492.769999999997</v>
      </c>
      <c r="U630" s="8">
        <v>0</v>
      </c>
      <c r="W630" s="8">
        <v>0</v>
      </c>
      <c r="Y630" s="8">
        <v>0</v>
      </c>
      <c r="AA630" s="8">
        <v>0</v>
      </c>
      <c r="AC630" s="8">
        <v>20000</v>
      </c>
      <c r="AE630" s="8">
        <f t="shared" si="27"/>
        <v>292200.34999999998</v>
      </c>
      <c r="AF630" s="8"/>
      <c r="AG630" s="55">
        <v>-37315.919999999998</v>
      </c>
      <c r="AH630" s="55"/>
      <c r="AI630" s="55">
        <v>348510.33</v>
      </c>
      <c r="AJ630" s="55"/>
      <c r="AK630" s="55">
        <v>311194.40999999997</v>
      </c>
      <c r="AL630" s="8">
        <f>+'Gov Rev'!AI630-'Gov Exp'!AE630+'Gov Exp'!AI630-'Gov Exp'!AK630</f>
        <v>0</v>
      </c>
      <c r="AM630" s="6" t="str">
        <f>'Gov Rev'!A630</f>
        <v>Washingtonville</v>
      </c>
      <c r="AN630" s="6" t="str">
        <f t="shared" si="28"/>
        <v>Washingtonville</v>
      </c>
      <c r="AO630" s="6" t="b">
        <f t="shared" si="29"/>
        <v>1</v>
      </c>
    </row>
    <row r="631" spans="1:41" x14ac:dyDescent="0.2">
      <c r="A631" s="8" t="s">
        <v>836</v>
      </c>
      <c r="B631" s="8"/>
      <c r="C631" s="8" t="s">
        <v>469</v>
      </c>
      <c r="D631" s="8"/>
      <c r="E631" s="8">
        <v>1219503</v>
      </c>
      <c r="G631" s="8">
        <v>1470</v>
      </c>
      <c r="I631" s="8">
        <v>155475</v>
      </c>
      <c r="K631" s="8">
        <v>0</v>
      </c>
      <c r="M631" s="8">
        <v>0</v>
      </c>
      <c r="O631" s="8">
        <v>482934</v>
      </c>
      <c r="Q631" s="8">
        <v>696220</v>
      </c>
      <c r="S631" s="8">
        <v>62371</v>
      </c>
      <c r="U631" s="8">
        <v>522584</v>
      </c>
      <c r="W631" s="8">
        <v>18830</v>
      </c>
      <c r="Y631" s="8">
        <v>835343</v>
      </c>
      <c r="AA631" s="8">
        <v>0</v>
      </c>
      <c r="AC631" s="8">
        <v>0</v>
      </c>
      <c r="AE631" s="8">
        <f t="shared" si="27"/>
        <v>3994730</v>
      </c>
      <c r="AF631" s="8"/>
      <c r="AG631" s="55"/>
      <c r="AH631" s="55"/>
      <c r="AI631" s="55"/>
      <c r="AJ631" s="55"/>
      <c r="AK631" s="55"/>
      <c r="AL631" s="8">
        <f>+'Gov Rev'!AI631-'Gov Exp'!AE631+'Gov Exp'!AI631-'Gov Exp'!AK631</f>
        <v>-179051</v>
      </c>
      <c r="AM631" s="6" t="str">
        <f>'Gov Rev'!A631</f>
        <v>Waverly</v>
      </c>
      <c r="AN631" s="6" t="str">
        <f t="shared" si="28"/>
        <v>Waverly</v>
      </c>
      <c r="AO631" s="6" t="b">
        <f t="shared" si="29"/>
        <v>1</v>
      </c>
    </row>
    <row r="632" spans="1:41" x14ac:dyDescent="0.2">
      <c r="A632" s="6" t="s">
        <v>547</v>
      </c>
      <c r="C632" s="6" t="s">
        <v>558</v>
      </c>
      <c r="E632" s="8">
        <v>114318.65</v>
      </c>
      <c r="G632" s="8">
        <v>432.02</v>
      </c>
      <c r="I632" s="8">
        <v>3519.4</v>
      </c>
      <c r="K632" s="8">
        <v>8950</v>
      </c>
      <c r="M632" s="8">
        <v>2004.4</v>
      </c>
      <c r="O632" s="8">
        <v>39596.14</v>
      </c>
      <c r="Q632" s="8">
        <v>63391.8</v>
      </c>
      <c r="S632" s="8">
        <v>0</v>
      </c>
      <c r="U632" s="8">
        <v>111388.88</v>
      </c>
      <c r="W632" s="8">
        <v>736.35</v>
      </c>
      <c r="Y632" s="8">
        <v>0</v>
      </c>
      <c r="AA632" s="8">
        <v>0</v>
      </c>
      <c r="AC632" s="8">
        <v>0</v>
      </c>
      <c r="AE632" s="8">
        <f t="shared" si="27"/>
        <v>344337.63999999996</v>
      </c>
      <c r="AF632" s="8"/>
      <c r="AG632" s="55">
        <v>-43146.01</v>
      </c>
      <c r="AH632" s="55"/>
      <c r="AI632" s="55">
        <v>497008.18</v>
      </c>
      <c r="AJ632" s="55"/>
      <c r="AK632" s="55">
        <v>453862.17</v>
      </c>
      <c r="AL632" s="8">
        <f>+'Gov Rev'!AI632-'Gov Exp'!AE632+'Gov Exp'!AI632-'Gov Exp'!AK632</f>
        <v>0</v>
      </c>
      <c r="AM632" s="6" t="str">
        <f>'Gov Rev'!A632</f>
        <v>Wayne</v>
      </c>
      <c r="AN632" s="6" t="str">
        <f t="shared" si="28"/>
        <v>Wayne</v>
      </c>
      <c r="AO632" s="6" t="b">
        <f t="shared" si="29"/>
        <v>1</v>
      </c>
    </row>
    <row r="633" spans="1:41" x14ac:dyDescent="0.2">
      <c r="A633" s="6" t="s">
        <v>316</v>
      </c>
      <c r="C633" s="6" t="s">
        <v>306</v>
      </c>
      <c r="E633" s="8">
        <v>3989</v>
      </c>
      <c r="G633" s="8">
        <v>1572</v>
      </c>
      <c r="I633" s="8">
        <v>50631</v>
      </c>
      <c r="K633" s="8">
        <v>2008</v>
      </c>
      <c r="M633" s="8">
        <v>14634</v>
      </c>
      <c r="O633" s="8">
        <v>40723</v>
      </c>
      <c r="Q633" s="8">
        <v>34400</v>
      </c>
      <c r="S633" s="8">
        <v>18472</v>
      </c>
      <c r="U633" s="8">
        <v>40307</v>
      </c>
      <c r="W633" s="8">
        <v>16274</v>
      </c>
      <c r="Y633" s="8">
        <v>18000</v>
      </c>
      <c r="AA633" s="8">
        <v>0</v>
      </c>
      <c r="AC633" s="8">
        <v>0</v>
      </c>
      <c r="AE633" s="8">
        <f t="shared" si="27"/>
        <v>241010</v>
      </c>
      <c r="AF633" s="8"/>
      <c r="AG633" s="55"/>
      <c r="AH633" s="55"/>
      <c r="AI633" s="55"/>
      <c r="AJ633" s="55"/>
      <c r="AK633" s="55"/>
      <c r="AL633" s="8">
        <f>+'Gov Rev'!AI633-'Gov Exp'!AE633+'Gov Exp'!AI633-'Gov Exp'!AK633</f>
        <v>12854</v>
      </c>
      <c r="AM633" s="6" t="str">
        <f>'Gov Rev'!A633</f>
        <v>Wayne Lakes</v>
      </c>
      <c r="AN633" s="6" t="str">
        <f t="shared" si="28"/>
        <v>Wayne Lakes</v>
      </c>
      <c r="AO633" s="6" t="b">
        <f t="shared" si="29"/>
        <v>1</v>
      </c>
    </row>
    <row r="634" spans="1:41" x14ac:dyDescent="0.2">
      <c r="A634" s="6" t="s">
        <v>509</v>
      </c>
      <c r="C634" s="6" t="s">
        <v>502</v>
      </c>
      <c r="E634" s="8">
        <v>125740</v>
      </c>
      <c r="G634" s="8">
        <v>0</v>
      </c>
      <c r="I634" s="8">
        <v>0</v>
      </c>
      <c r="K634" s="8">
        <v>0</v>
      </c>
      <c r="M634" s="8">
        <v>0</v>
      </c>
      <c r="O634" s="8">
        <v>15361</v>
      </c>
      <c r="Q634" s="8">
        <v>158883</v>
      </c>
      <c r="S634" s="8">
        <v>7312</v>
      </c>
      <c r="U634" s="8">
        <v>10570</v>
      </c>
      <c r="W634" s="8">
        <v>3565</v>
      </c>
      <c r="Y634" s="8">
        <v>0</v>
      </c>
      <c r="AA634" s="8">
        <v>0</v>
      </c>
      <c r="AC634" s="8">
        <v>0</v>
      </c>
      <c r="AE634" s="8">
        <f t="shared" si="27"/>
        <v>321431</v>
      </c>
      <c r="AF634" s="8"/>
      <c r="AG634" s="55"/>
      <c r="AH634" s="55"/>
      <c r="AI634" s="55"/>
      <c r="AJ634" s="55"/>
      <c r="AK634" s="55"/>
      <c r="AL634" s="8">
        <f>+'Gov Rev'!AI634-'Gov Exp'!AE634+'Gov Exp'!AI634-'Gov Exp'!AK634</f>
        <v>32576</v>
      </c>
      <c r="AM634" s="6" t="str">
        <f>'Gov Rev'!A634</f>
        <v>Waynesburg</v>
      </c>
      <c r="AN634" s="6" t="str">
        <f t="shared" si="28"/>
        <v>Waynesburg</v>
      </c>
      <c r="AO634" s="6" t="b">
        <f t="shared" si="29"/>
        <v>1</v>
      </c>
    </row>
    <row r="635" spans="1:41" x14ac:dyDescent="0.2">
      <c r="A635" s="6" t="s">
        <v>14</v>
      </c>
      <c r="C635" s="6" t="s">
        <v>257</v>
      </c>
      <c r="E635" s="8">
        <v>81085.77</v>
      </c>
      <c r="G635" s="8">
        <v>29.26</v>
      </c>
      <c r="I635" s="8">
        <v>6787.13</v>
      </c>
      <c r="K635" s="8">
        <v>3135</v>
      </c>
      <c r="M635" s="8">
        <v>0</v>
      </c>
      <c r="O635" s="8">
        <v>28306.6</v>
      </c>
      <c r="Q635" s="8">
        <v>145092.57</v>
      </c>
      <c r="S635" s="8">
        <v>24000</v>
      </c>
      <c r="U635" s="8">
        <v>14363.04</v>
      </c>
      <c r="W635" s="8">
        <v>0</v>
      </c>
      <c r="Y635" s="8">
        <v>0</v>
      </c>
      <c r="AA635" s="8">
        <v>0</v>
      </c>
      <c r="AC635" s="8">
        <v>0</v>
      </c>
      <c r="AE635" s="8">
        <f t="shared" si="27"/>
        <v>302799.37</v>
      </c>
      <c r="AF635" s="8"/>
      <c r="AG635" s="55">
        <v>-295.54000000000002</v>
      </c>
      <c r="AH635" s="55"/>
      <c r="AI635" s="55">
        <v>278183.19</v>
      </c>
      <c r="AJ635" s="55"/>
      <c r="AK635" s="55">
        <v>277887.65000000002</v>
      </c>
      <c r="AL635" s="8">
        <f>+'Gov Rev'!AI635-'Gov Exp'!AE635+'Gov Exp'!AI635-'Gov Exp'!AK635</f>
        <v>0</v>
      </c>
      <c r="AM635" s="6" t="str">
        <f>'Gov Rev'!A635</f>
        <v>Waynesfield</v>
      </c>
      <c r="AN635" s="6" t="str">
        <f t="shared" si="28"/>
        <v>Waynesfield</v>
      </c>
      <c r="AO635" s="6" t="b">
        <f t="shared" si="29"/>
        <v>1</v>
      </c>
    </row>
    <row r="636" spans="1:41" x14ac:dyDescent="0.2">
      <c r="A636" s="6" t="s">
        <v>543</v>
      </c>
      <c r="C636" s="6" t="s">
        <v>541</v>
      </c>
      <c r="E636" s="8">
        <v>277592</v>
      </c>
      <c r="G636" s="8">
        <v>853</v>
      </c>
      <c r="I636" s="8">
        <v>0</v>
      </c>
      <c r="K636" s="8">
        <v>0</v>
      </c>
      <c r="M636" s="8">
        <v>0</v>
      </c>
      <c r="O636" s="8">
        <v>161072</v>
      </c>
      <c r="Q636" s="8">
        <v>246832</v>
      </c>
      <c r="S636" s="8">
        <v>75524</v>
      </c>
      <c r="U636" s="8">
        <v>311400</v>
      </c>
      <c r="W636" s="8">
        <v>32902</v>
      </c>
      <c r="Y636" s="8">
        <v>0</v>
      </c>
      <c r="AA636" s="8">
        <v>0</v>
      </c>
      <c r="AC636" s="8">
        <v>0</v>
      </c>
      <c r="AE636" s="8">
        <f t="shared" si="27"/>
        <v>1106175</v>
      </c>
      <c r="AF636" s="8"/>
      <c r="AG636" s="55"/>
      <c r="AH636" s="55"/>
      <c r="AI636" s="55"/>
      <c r="AJ636" s="55"/>
      <c r="AK636" s="55"/>
      <c r="AL636" s="8">
        <f>+'Gov Rev'!AI636-'Gov Exp'!AE636+'Gov Exp'!AI636-'Gov Exp'!AK636</f>
        <v>390135</v>
      </c>
      <c r="AM636" s="6" t="str">
        <f>'Gov Rev'!A636</f>
        <v>Waynesville</v>
      </c>
      <c r="AN636" s="6" t="str">
        <f t="shared" si="28"/>
        <v>Waynesville</v>
      </c>
      <c r="AO636" s="6" t="b">
        <f t="shared" si="29"/>
        <v>1</v>
      </c>
    </row>
    <row r="637" spans="1:41" x14ac:dyDescent="0.2">
      <c r="A637" s="6" t="s">
        <v>421</v>
      </c>
      <c r="C637" s="6" t="s">
        <v>419</v>
      </c>
      <c r="E637" s="8">
        <v>1080688</v>
      </c>
      <c r="G637" s="8">
        <v>28928</v>
      </c>
      <c r="I637" s="8">
        <v>46776</v>
      </c>
      <c r="K637" s="8">
        <v>121078</v>
      </c>
      <c r="M637" s="8">
        <v>0</v>
      </c>
      <c r="O637" s="8">
        <v>783790</v>
      </c>
      <c r="Q637" s="8">
        <v>400517</v>
      </c>
      <c r="S637" s="8">
        <v>1230614</v>
      </c>
      <c r="U637" s="8">
        <v>67244</v>
      </c>
      <c r="W637" s="8">
        <v>24380</v>
      </c>
      <c r="Y637" s="8">
        <v>0</v>
      </c>
      <c r="AA637" s="8">
        <v>0</v>
      </c>
      <c r="AC637" s="8">
        <v>0</v>
      </c>
      <c r="AE637" s="8">
        <f t="shared" si="27"/>
        <v>3784015</v>
      </c>
      <c r="AF637" s="8"/>
      <c r="AG637" s="55"/>
      <c r="AH637" s="55"/>
      <c r="AI637" s="55"/>
      <c r="AJ637" s="55"/>
      <c r="AK637" s="55"/>
      <c r="AL637" s="8">
        <f>+'Gov Rev'!AI637-'Gov Exp'!AE637+'Gov Exp'!AI637-'Gov Exp'!AK637</f>
        <v>-607923</v>
      </c>
      <c r="AM637" s="6" t="str">
        <f>'Gov Rev'!A637</f>
        <v>Wellington</v>
      </c>
      <c r="AN637" s="6" t="str">
        <f t="shared" si="28"/>
        <v>Wellington</v>
      </c>
      <c r="AO637" s="6" t="b">
        <f t="shared" si="29"/>
        <v>1</v>
      </c>
    </row>
    <row r="638" spans="1:41" x14ac:dyDescent="0.2">
      <c r="A638" s="6" t="s">
        <v>284</v>
      </c>
      <c r="C638" s="6" t="s">
        <v>283</v>
      </c>
      <c r="E638" s="8">
        <v>1034682.02</v>
      </c>
      <c r="G638" s="8">
        <v>81050.02</v>
      </c>
      <c r="I638" s="8">
        <v>6410.28</v>
      </c>
      <c r="K638" s="8">
        <v>24952.07</v>
      </c>
      <c r="M638" s="8">
        <v>201737</v>
      </c>
      <c r="O638" s="8">
        <v>159085.5</v>
      </c>
      <c r="Q638" s="8">
        <v>346887.49</v>
      </c>
      <c r="S638" s="8">
        <v>127680.71</v>
      </c>
      <c r="U638" s="8">
        <v>0</v>
      </c>
      <c r="W638" s="8">
        <v>0</v>
      </c>
      <c r="Y638" s="8">
        <v>200000</v>
      </c>
      <c r="AA638" s="8">
        <v>125000</v>
      </c>
      <c r="AC638" s="8">
        <v>0</v>
      </c>
      <c r="AE638" s="8">
        <f t="shared" si="27"/>
        <v>2307485.09</v>
      </c>
      <c r="AF638" s="8"/>
      <c r="AG638" s="55">
        <v>-518795.28</v>
      </c>
      <c r="AH638" s="55"/>
      <c r="AI638" s="55">
        <v>1201567.8600000001</v>
      </c>
      <c r="AJ638" s="55"/>
      <c r="AK638" s="55">
        <v>682772.58</v>
      </c>
      <c r="AL638" s="8">
        <f>+'Gov Rev'!AI638-'Gov Exp'!AE638+'Gov Exp'!AI638-'Gov Exp'!AK638</f>
        <v>0</v>
      </c>
      <c r="AM638" s="6" t="str">
        <f>'Gov Rev'!A638</f>
        <v>Wellsville</v>
      </c>
      <c r="AN638" s="6" t="str">
        <f t="shared" si="28"/>
        <v>Wellsville</v>
      </c>
      <c r="AO638" s="6" t="b">
        <f t="shared" si="29"/>
        <v>1</v>
      </c>
    </row>
    <row r="639" spans="1:41" x14ac:dyDescent="0.2">
      <c r="A639" s="6" t="s">
        <v>475</v>
      </c>
      <c r="C639" s="6" t="s">
        <v>472</v>
      </c>
      <c r="E639" s="8">
        <v>597760</v>
      </c>
      <c r="G639" s="8">
        <v>3184</v>
      </c>
      <c r="I639" s="8">
        <v>23486</v>
      </c>
      <c r="K639" s="8">
        <v>5762</v>
      </c>
      <c r="M639" s="8">
        <v>4882</v>
      </c>
      <c r="O639" s="8">
        <v>125736</v>
      </c>
      <c r="Q639" s="8">
        <v>420445</v>
      </c>
      <c r="S639" s="8">
        <v>880145</v>
      </c>
      <c r="U639" s="8">
        <v>0</v>
      </c>
      <c r="W639" s="8">
        <v>0</v>
      </c>
      <c r="Y639" s="8">
        <v>0</v>
      </c>
      <c r="AA639" s="8">
        <v>0</v>
      </c>
      <c r="AC639" s="8">
        <v>49714</v>
      </c>
      <c r="AE639" s="8">
        <f t="shared" si="27"/>
        <v>2111114</v>
      </c>
      <c r="AF639" s="8"/>
      <c r="AG639" s="55"/>
      <c r="AH639" s="55"/>
      <c r="AI639" s="55"/>
      <c r="AJ639" s="55"/>
      <c r="AK639" s="55"/>
      <c r="AL639" s="8">
        <f>+'Gov Rev'!AI639-'Gov Exp'!AE639+'Gov Exp'!AI639-'Gov Exp'!AK639</f>
        <v>-89310</v>
      </c>
      <c r="AM639" s="6" t="str">
        <f>'Gov Rev'!A639</f>
        <v>West Alexandria</v>
      </c>
      <c r="AN639" s="6" t="str">
        <f t="shared" si="28"/>
        <v>West Alexandria</v>
      </c>
      <c r="AO639" s="6" t="b">
        <f t="shared" si="29"/>
        <v>1</v>
      </c>
    </row>
    <row r="640" spans="1:41" x14ac:dyDescent="0.2">
      <c r="A640" s="6" t="s">
        <v>811</v>
      </c>
      <c r="C640" s="6" t="s">
        <v>472</v>
      </c>
      <c r="E640" s="8">
        <v>3871.65</v>
      </c>
      <c r="G640" s="8">
        <v>0</v>
      </c>
      <c r="I640" s="8">
        <v>0</v>
      </c>
      <c r="K640" s="8">
        <v>0</v>
      </c>
      <c r="M640" s="8">
        <v>0</v>
      </c>
      <c r="O640" s="8">
        <v>29063.200000000001</v>
      </c>
      <c r="Q640" s="8">
        <v>43077.57</v>
      </c>
      <c r="S640" s="8">
        <v>0</v>
      </c>
      <c r="U640" s="8">
        <v>0</v>
      </c>
      <c r="W640" s="8">
        <v>0</v>
      </c>
      <c r="Y640" s="8">
        <v>0</v>
      </c>
      <c r="AA640" s="8">
        <v>0</v>
      </c>
      <c r="AC640" s="8">
        <v>0</v>
      </c>
      <c r="AE640" s="8">
        <f t="shared" si="27"/>
        <v>76012.42</v>
      </c>
      <c r="AF640" s="8"/>
      <c r="AG640" s="55">
        <v>-10925.99</v>
      </c>
      <c r="AH640" s="55"/>
      <c r="AI640" s="55">
        <v>125001.52</v>
      </c>
      <c r="AJ640" s="55"/>
      <c r="AK640" s="55">
        <v>114075.53</v>
      </c>
      <c r="AL640" s="8">
        <f>+'Gov Rev'!AI640-'Gov Exp'!AE640+'Gov Exp'!AI640-'Gov Exp'!AK640</f>
        <v>0</v>
      </c>
      <c r="AM640" s="6" t="str">
        <f>'Gov Rev'!A640</f>
        <v>West Elkton</v>
      </c>
      <c r="AN640" s="6" t="str">
        <f t="shared" si="28"/>
        <v>West Elkton</v>
      </c>
      <c r="AO640" s="6" t="b">
        <f t="shared" si="29"/>
        <v>1</v>
      </c>
    </row>
    <row r="641" spans="1:41" x14ac:dyDescent="0.2">
      <c r="A641" s="6" t="s">
        <v>215</v>
      </c>
      <c r="C641" s="6" t="s">
        <v>518</v>
      </c>
      <c r="E641" s="8">
        <v>32394.6</v>
      </c>
      <c r="G641" s="8">
        <v>0</v>
      </c>
      <c r="I641" s="8">
        <v>10764.51</v>
      </c>
      <c r="K641" s="8">
        <v>0</v>
      </c>
      <c r="M641" s="8">
        <v>0</v>
      </c>
      <c r="O641" s="8">
        <v>14567.4</v>
      </c>
      <c r="Q641" s="8">
        <v>51265.19</v>
      </c>
      <c r="S641" s="8">
        <v>0</v>
      </c>
      <c r="U641" s="8">
        <v>0</v>
      </c>
      <c r="W641" s="8">
        <v>0</v>
      </c>
      <c r="Y641" s="8">
        <v>15092.54</v>
      </c>
      <c r="AA641" s="8">
        <v>34305</v>
      </c>
      <c r="AC641" s="8">
        <v>0</v>
      </c>
      <c r="AE641" s="8">
        <f t="shared" si="27"/>
        <v>158389.24000000002</v>
      </c>
      <c r="AF641" s="8"/>
      <c r="AG641" s="55">
        <v>1941.76</v>
      </c>
      <c r="AH641" s="55"/>
      <c r="AI641" s="55">
        <v>95740.49</v>
      </c>
      <c r="AJ641" s="55"/>
      <c r="AK641" s="55">
        <v>97682.25</v>
      </c>
      <c r="AL641" s="8">
        <f>+'Gov Rev'!AI641-'Gov Exp'!AE641+'Gov Exp'!AI641-'Gov Exp'!AK641</f>
        <v>0</v>
      </c>
      <c r="AM641" s="6" t="str">
        <f>'Gov Rev'!A641</f>
        <v>West Farmington</v>
      </c>
      <c r="AN641" s="6" t="str">
        <f t="shared" si="28"/>
        <v>West Farmington</v>
      </c>
      <c r="AO641" s="6" t="b">
        <f t="shared" si="29"/>
        <v>1</v>
      </c>
    </row>
    <row r="642" spans="1:41" x14ac:dyDescent="0.2">
      <c r="A642" s="6" t="s">
        <v>812</v>
      </c>
      <c r="C642" s="6" t="s">
        <v>401</v>
      </c>
      <c r="E642" s="8">
        <v>1272661.22</v>
      </c>
      <c r="G642" s="8">
        <v>0</v>
      </c>
      <c r="I642" s="8">
        <v>37011.089999999997</v>
      </c>
      <c r="K642" s="8">
        <v>54021.23</v>
      </c>
      <c r="M642" s="8">
        <v>0</v>
      </c>
      <c r="O642" s="8">
        <v>1205607.56</v>
      </c>
      <c r="Q642" s="8">
        <v>1070255.6499999999</v>
      </c>
      <c r="S642" s="8">
        <v>0</v>
      </c>
      <c r="U642" s="8">
        <v>218797.55</v>
      </c>
      <c r="W642" s="8">
        <v>75196.89</v>
      </c>
      <c r="Y642" s="8">
        <v>15000</v>
      </c>
      <c r="AA642" s="8">
        <v>0</v>
      </c>
      <c r="AC642" s="8">
        <v>20349.5</v>
      </c>
      <c r="AE642" s="8">
        <f t="shared" si="27"/>
        <v>3968900.69</v>
      </c>
      <c r="AF642" s="8"/>
      <c r="AG642" s="55">
        <v>763471.77</v>
      </c>
      <c r="AH642" s="55"/>
      <c r="AI642" s="55">
        <v>1583391.1</v>
      </c>
      <c r="AJ642" s="55"/>
      <c r="AK642" s="55">
        <v>2346862.87</v>
      </c>
      <c r="AL642" s="8">
        <f>+'Gov Rev'!AI642-'Gov Exp'!AE642+'Gov Exp'!AI642-'Gov Exp'!AK642</f>
        <v>0</v>
      </c>
      <c r="AM642" s="6" t="str">
        <f>'Gov Rev'!A642</f>
        <v>West Jefferson</v>
      </c>
      <c r="AN642" s="6" t="str">
        <f t="shared" si="28"/>
        <v>West Jefferson</v>
      </c>
      <c r="AO642" s="6" t="b">
        <f t="shared" si="29"/>
        <v>1</v>
      </c>
    </row>
    <row r="643" spans="1:41" x14ac:dyDescent="0.2">
      <c r="A643" s="6" t="s">
        <v>287</v>
      </c>
      <c r="C643" s="6" t="s">
        <v>285</v>
      </c>
      <c r="E643" s="8">
        <v>423697</v>
      </c>
      <c r="G643" s="8">
        <v>4945</v>
      </c>
      <c r="I643" s="8">
        <v>0</v>
      </c>
      <c r="K643" s="8">
        <v>1929</v>
      </c>
      <c r="M643" s="8">
        <v>4399</v>
      </c>
      <c r="O643" s="8">
        <v>160474</v>
      </c>
      <c r="Q643" s="8">
        <v>118739</v>
      </c>
      <c r="S643" s="8">
        <v>159264</v>
      </c>
      <c r="U643" s="8">
        <v>0</v>
      </c>
      <c r="W643" s="8">
        <v>0</v>
      </c>
      <c r="Y643" s="8">
        <v>0</v>
      </c>
      <c r="AA643" s="8">
        <v>0</v>
      </c>
      <c r="AC643" s="8">
        <v>0</v>
      </c>
      <c r="AE643" s="8">
        <f t="shared" si="27"/>
        <v>873447</v>
      </c>
      <c r="AF643" s="8"/>
      <c r="AG643" s="55"/>
      <c r="AH643" s="55"/>
      <c r="AI643" s="55"/>
      <c r="AJ643" s="55"/>
      <c r="AK643" s="55"/>
      <c r="AL643" s="8">
        <f>+'Gov Rev'!AI643-'Gov Exp'!AE643+'Gov Exp'!AI643-'Gov Exp'!AK643</f>
        <v>117076</v>
      </c>
      <c r="AM643" s="6" t="str">
        <f>'Gov Rev'!A643</f>
        <v>West Lafayette</v>
      </c>
      <c r="AN643" s="6" t="str">
        <f t="shared" si="28"/>
        <v>West Lafayette</v>
      </c>
      <c r="AO643" s="6" t="b">
        <f t="shared" si="29"/>
        <v>1</v>
      </c>
    </row>
    <row r="644" spans="1:41" x14ac:dyDescent="0.2">
      <c r="A644" s="6" t="s">
        <v>778</v>
      </c>
      <c r="C644" s="6" t="s">
        <v>476</v>
      </c>
      <c r="E644" s="8">
        <v>24986.43</v>
      </c>
      <c r="G644" s="8">
        <v>0</v>
      </c>
      <c r="I644" s="8">
        <v>0</v>
      </c>
      <c r="K644" s="8">
        <v>0</v>
      </c>
      <c r="M644" s="8">
        <v>1325</v>
      </c>
      <c r="O644" s="8">
        <v>13541.35</v>
      </c>
      <c r="Q644" s="8">
        <v>27879.11</v>
      </c>
      <c r="S644" s="8">
        <v>0</v>
      </c>
      <c r="U644" s="8">
        <v>756.24</v>
      </c>
      <c r="W644" s="8">
        <v>0</v>
      </c>
      <c r="Y644" s="8">
        <v>3000</v>
      </c>
      <c r="AA644" s="8">
        <v>0</v>
      </c>
      <c r="AC644" s="8">
        <v>34.99</v>
      </c>
      <c r="AE644" s="8">
        <f t="shared" si="27"/>
        <v>71523.12000000001</v>
      </c>
      <c r="AF644" s="8"/>
      <c r="AG644" s="55">
        <v>-9611.69</v>
      </c>
      <c r="AH644" s="55"/>
      <c r="AI644" s="55">
        <v>181690.04</v>
      </c>
      <c r="AJ644" s="55"/>
      <c r="AK644" s="55">
        <v>172078.35</v>
      </c>
      <c r="AL644" s="8">
        <f>+'Gov Rev'!AI644-'Gov Exp'!AE644+'Gov Exp'!AI644-'Gov Exp'!AK644</f>
        <v>0</v>
      </c>
      <c r="AM644" s="6" t="str">
        <f>'Gov Rev'!A644</f>
        <v>West Leipsic</v>
      </c>
      <c r="AN644" s="6" t="str">
        <f t="shared" si="28"/>
        <v>West Leipsic</v>
      </c>
      <c r="AO644" s="6" t="b">
        <f t="shared" si="29"/>
        <v>1</v>
      </c>
    </row>
    <row r="645" spans="1:41" x14ac:dyDescent="0.2">
      <c r="A645" s="6" t="s">
        <v>126</v>
      </c>
      <c r="C645" s="6" t="s">
        <v>414</v>
      </c>
      <c r="E645" s="8">
        <v>317908.03000000003</v>
      </c>
      <c r="G645" s="8">
        <v>64657.77</v>
      </c>
      <c r="I645" s="8">
        <v>9904.0300000000007</v>
      </c>
      <c r="K645" s="8">
        <v>2178.69</v>
      </c>
      <c r="M645" s="8">
        <v>0</v>
      </c>
      <c r="O645" s="8">
        <v>79924.240000000005</v>
      </c>
      <c r="Q645" s="8">
        <v>163617.79999999999</v>
      </c>
      <c r="S645" s="8">
        <v>57860.4</v>
      </c>
      <c r="U645" s="8">
        <v>16600</v>
      </c>
      <c r="W645" s="8">
        <v>1983.08</v>
      </c>
      <c r="Y645" s="8">
        <v>1019.7</v>
      </c>
      <c r="AA645" s="8">
        <v>0</v>
      </c>
      <c r="AC645" s="8">
        <v>17297.7</v>
      </c>
      <c r="AE645" s="8">
        <f t="shared" si="27"/>
        <v>732951.44</v>
      </c>
      <c r="AF645" s="8"/>
      <c r="AG645" s="55">
        <v>90985.8</v>
      </c>
      <c r="AH645" s="55"/>
      <c r="AI645" s="55">
        <v>598377.43999999994</v>
      </c>
      <c r="AJ645" s="55"/>
      <c r="AK645" s="55">
        <v>689363.24</v>
      </c>
      <c r="AL645" s="8">
        <f>+'Gov Rev'!AI645-'Gov Exp'!AE645+'Gov Exp'!AI645-'Gov Exp'!AK645</f>
        <v>0</v>
      </c>
      <c r="AM645" s="6" t="str">
        <f>'Gov Rev'!A645</f>
        <v>West Liberty</v>
      </c>
      <c r="AN645" s="6" t="str">
        <f t="shared" si="28"/>
        <v>West Liberty</v>
      </c>
      <c r="AO645" s="6" t="b">
        <f t="shared" si="29"/>
        <v>1</v>
      </c>
    </row>
    <row r="646" spans="1:41" ht="12.75" x14ac:dyDescent="0.2">
      <c r="A646" s="6" t="s">
        <v>779</v>
      </c>
      <c r="C646" s="6" t="s">
        <v>472</v>
      </c>
      <c r="D646" s="11"/>
      <c r="E646" s="8">
        <v>6248</v>
      </c>
      <c r="G646" s="8">
        <v>212327</v>
      </c>
      <c r="I646" s="8">
        <v>0</v>
      </c>
      <c r="K646" s="8">
        <v>0</v>
      </c>
      <c r="M646" s="8">
        <v>0</v>
      </c>
      <c r="O646" s="8">
        <v>3748</v>
      </c>
      <c r="Q646" s="8">
        <v>24897</v>
      </c>
      <c r="S646" s="8">
        <v>344890</v>
      </c>
      <c r="U646" s="8">
        <v>0</v>
      </c>
      <c r="W646" s="8">
        <v>0</v>
      </c>
      <c r="Y646" s="8">
        <v>88794</v>
      </c>
      <c r="AA646" s="8">
        <v>0</v>
      </c>
      <c r="AC646" s="8">
        <v>0</v>
      </c>
      <c r="AE646" s="8">
        <f t="shared" si="27"/>
        <v>680904</v>
      </c>
      <c r="AF646" s="8"/>
      <c r="AG646" s="55"/>
      <c r="AH646" s="55"/>
      <c r="AI646" s="55"/>
      <c r="AJ646" s="55"/>
      <c r="AK646" s="55"/>
      <c r="AL646" s="8">
        <f>+'Gov Rev'!AI646-'Gov Exp'!AE646+'Gov Exp'!AI646-'Gov Exp'!AK646</f>
        <v>-8881</v>
      </c>
      <c r="AM646" s="6" t="str">
        <f>'Gov Rev'!A646</f>
        <v>West Manchester</v>
      </c>
      <c r="AN646" s="6" t="str">
        <f t="shared" si="28"/>
        <v>West Manchester</v>
      </c>
      <c r="AO646" s="6" t="b">
        <f t="shared" si="29"/>
        <v>1</v>
      </c>
    </row>
    <row r="647" spans="1:41" x14ac:dyDescent="0.2">
      <c r="A647" s="6" t="s">
        <v>813</v>
      </c>
      <c r="C647" s="6" t="s">
        <v>414</v>
      </c>
      <c r="E647" s="8">
        <v>19670.310000000001</v>
      </c>
      <c r="G647" s="8">
        <v>4139.84</v>
      </c>
      <c r="I647" s="8">
        <v>11521.15</v>
      </c>
      <c r="K647" s="8">
        <v>2946.14</v>
      </c>
      <c r="M647" s="8">
        <v>0</v>
      </c>
      <c r="O647" s="8">
        <v>55317.86</v>
      </c>
      <c r="Q647" s="8">
        <v>78624.820000000007</v>
      </c>
      <c r="S647" s="8">
        <v>77581.350000000006</v>
      </c>
      <c r="U647" s="8">
        <v>8037.16</v>
      </c>
      <c r="W647" s="8">
        <v>677.72</v>
      </c>
      <c r="Y647" s="8">
        <v>23215.06</v>
      </c>
      <c r="AA647" s="8">
        <v>0</v>
      </c>
      <c r="AC647" s="8">
        <v>0</v>
      </c>
      <c r="AE647" s="8">
        <f t="shared" si="27"/>
        <v>281731.41000000003</v>
      </c>
      <c r="AF647" s="8"/>
      <c r="AG647" s="55">
        <v>44363.94</v>
      </c>
      <c r="AH647" s="55"/>
      <c r="AI647" s="55">
        <v>527760.93999999994</v>
      </c>
      <c r="AJ647" s="55"/>
      <c r="AK647" s="55">
        <v>572124.88</v>
      </c>
      <c r="AL647" s="8">
        <f>+'Gov Rev'!AI647-'Gov Exp'!AE647+'Gov Exp'!AI647-'Gov Exp'!AK647</f>
        <v>0</v>
      </c>
      <c r="AM647" s="6" t="str">
        <f>'Gov Rev'!A647</f>
        <v>West Mansfield</v>
      </c>
      <c r="AN647" s="6" t="str">
        <f t="shared" si="28"/>
        <v>West Mansfield</v>
      </c>
      <c r="AO647" s="6" t="b">
        <f t="shared" si="29"/>
        <v>1</v>
      </c>
    </row>
    <row r="648" spans="1:41" x14ac:dyDescent="0.2">
      <c r="A648" s="6" t="s">
        <v>244</v>
      </c>
      <c r="C648" s="6" t="s">
        <v>558</v>
      </c>
      <c r="E648" s="8">
        <v>9057.2800000000007</v>
      </c>
      <c r="G648" s="8">
        <v>0</v>
      </c>
      <c r="I648" s="8">
        <v>14.05</v>
      </c>
      <c r="K648" s="8">
        <v>0</v>
      </c>
      <c r="M648" s="8">
        <v>0</v>
      </c>
      <c r="O648" s="8">
        <v>2606</v>
      </c>
      <c r="Q648" s="8">
        <v>25062.57</v>
      </c>
      <c r="S648" s="8">
        <v>0</v>
      </c>
      <c r="U648" s="8">
        <v>0</v>
      </c>
      <c r="W648" s="8">
        <v>0</v>
      </c>
      <c r="Y648" s="8">
        <v>0</v>
      </c>
      <c r="AA648" s="8">
        <v>0</v>
      </c>
      <c r="AC648" s="8">
        <v>1494.97</v>
      </c>
      <c r="AE648" s="8">
        <f t="shared" si="27"/>
        <v>38234.870000000003</v>
      </c>
      <c r="AF648" s="8"/>
      <c r="AG648" s="55">
        <v>2987.56</v>
      </c>
      <c r="AH648" s="55"/>
      <c r="AI648" s="55">
        <v>43260.78</v>
      </c>
      <c r="AJ648" s="55"/>
      <c r="AK648" s="55">
        <v>46248.34</v>
      </c>
      <c r="AL648" s="8">
        <f>+'Gov Rev'!AI648-'Gov Exp'!AE648+'Gov Exp'!AI648-'Gov Exp'!AK648</f>
        <v>0</v>
      </c>
      <c r="AM648" s="6" t="str">
        <f>'Gov Rev'!A648</f>
        <v>West Millgrove</v>
      </c>
      <c r="AN648" s="6" t="str">
        <f t="shared" si="28"/>
        <v>West Millgrove</v>
      </c>
      <c r="AO648" s="6" t="b">
        <f t="shared" si="29"/>
        <v>1</v>
      </c>
    </row>
    <row r="649" spans="1:41" x14ac:dyDescent="0.2">
      <c r="A649" s="6" t="s">
        <v>439</v>
      </c>
      <c r="C649" s="6" t="s">
        <v>437</v>
      </c>
      <c r="E649" s="8">
        <v>989268</v>
      </c>
      <c r="G649" s="8">
        <v>0</v>
      </c>
      <c r="I649" s="8">
        <f>6221+26760</f>
        <v>32981</v>
      </c>
      <c r="K649" s="8">
        <v>1235</v>
      </c>
      <c r="M649" s="8">
        <v>0</v>
      </c>
      <c r="O649" s="8">
        <v>379933</v>
      </c>
      <c r="Q649" s="8">
        <v>530751</v>
      </c>
      <c r="S649" s="8">
        <f>124368+17439+3350</f>
        <v>145157</v>
      </c>
      <c r="U649" s="8">
        <v>241973</v>
      </c>
      <c r="W649" s="8">
        <v>8159</v>
      </c>
      <c r="Y649" s="8">
        <v>58500</v>
      </c>
      <c r="AA649" s="8">
        <v>0</v>
      </c>
      <c r="AC649" s="8">
        <v>0</v>
      </c>
      <c r="AE649" s="8">
        <f t="shared" si="27"/>
        <v>2387957</v>
      </c>
      <c r="AF649" s="8"/>
      <c r="AG649" s="55"/>
      <c r="AH649" s="55"/>
      <c r="AI649" s="55"/>
      <c r="AJ649" s="55"/>
      <c r="AK649" s="55"/>
      <c r="AL649" s="8">
        <f>+'Gov Rev'!AI649-'Gov Exp'!AE649+'Gov Exp'!AI649-'Gov Exp'!AK649</f>
        <v>-230551</v>
      </c>
      <c r="AM649" s="6" t="str">
        <f>'Gov Rev'!A649</f>
        <v>West Milton</v>
      </c>
      <c r="AN649" s="6" t="str">
        <f t="shared" si="28"/>
        <v>West Milton</v>
      </c>
      <c r="AO649" s="6" t="b">
        <f t="shared" si="29"/>
        <v>1</v>
      </c>
    </row>
    <row r="650" spans="1:41" x14ac:dyDescent="0.2">
      <c r="A650" s="6" t="s">
        <v>328</v>
      </c>
      <c r="C650" s="6" t="s">
        <v>327</v>
      </c>
      <c r="E650" s="8">
        <v>0</v>
      </c>
      <c r="G650" s="8">
        <v>0</v>
      </c>
      <c r="I650" s="8">
        <v>0</v>
      </c>
      <c r="K650" s="8">
        <v>0</v>
      </c>
      <c r="M650" s="8">
        <v>2107</v>
      </c>
      <c r="O650" s="8">
        <v>0</v>
      </c>
      <c r="Q650" s="8">
        <v>9892</v>
      </c>
      <c r="S650" s="8">
        <v>0</v>
      </c>
      <c r="U650" s="8">
        <v>0</v>
      </c>
      <c r="W650" s="8">
        <v>0</v>
      </c>
      <c r="Y650" s="8">
        <v>0</v>
      </c>
      <c r="AA650" s="8">
        <v>0</v>
      </c>
      <c r="AC650" s="8">
        <v>0</v>
      </c>
      <c r="AE650" s="8">
        <f t="shared" si="27"/>
        <v>11999</v>
      </c>
      <c r="AF650" s="8"/>
      <c r="AG650" s="55"/>
      <c r="AH650" s="55"/>
      <c r="AI650" s="55"/>
      <c r="AJ650" s="55"/>
      <c r="AK650" s="55"/>
      <c r="AL650" s="8">
        <f>+'Gov Rev'!AI650-'Gov Exp'!AE650+'Gov Exp'!AI650-'Gov Exp'!AK650</f>
        <v>5482</v>
      </c>
      <c r="AM650" s="6" t="str">
        <f>'Gov Rev'!A650</f>
        <v>West Rushville</v>
      </c>
      <c r="AN650" s="6" t="str">
        <f t="shared" si="28"/>
        <v>West Rushville</v>
      </c>
      <c r="AO650" s="6" t="b">
        <f t="shared" si="29"/>
        <v>1</v>
      </c>
    </row>
    <row r="651" spans="1:41" x14ac:dyDescent="0.2">
      <c r="A651" s="6" t="s">
        <v>233</v>
      </c>
      <c r="C651" s="6" t="s">
        <v>547</v>
      </c>
      <c r="E651" s="8">
        <v>181741.55</v>
      </c>
      <c r="G651" s="8">
        <v>36903.230000000003</v>
      </c>
      <c r="I651" s="8">
        <v>62178.86</v>
      </c>
      <c r="K651" s="8">
        <v>6097.67</v>
      </c>
      <c r="M651" s="8">
        <v>0</v>
      </c>
      <c r="O651" s="8">
        <v>117099.79</v>
      </c>
      <c r="Q651" s="8">
        <v>116572.18</v>
      </c>
      <c r="S651" s="8">
        <v>204539.32</v>
      </c>
      <c r="U651" s="8">
        <v>87114.93</v>
      </c>
      <c r="W651" s="8">
        <v>39965.550000000003</v>
      </c>
      <c r="Y651" s="8">
        <v>0</v>
      </c>
      <c r="AA651" s="8">
        <v>0</v>
      </c>
      <c r="AC651" s="8">
        <v>0</v>
      </c>
      <c r="AE651" s="8">
        <f t="shared" si="27"/>
        <v>852213.08000000007</v>
      </c>
      <c r="AF651" s="8"/>
      <c r="AG651" s="55">
        <v>-13618.34</v>
      </c>
      <c r="AH651" s="55"/>
      <c r="AI651" s="55">
        <v>357244.02</v>
      </c>
      <c r="AJ651" s="55"/>
      <c r="AK651" s="55">
        <v>343625.68</v>
      </c>
      <c r="AL651" s="8">
        <f>+'Gov Rev'!AI651-'Gov Exp'!AE651+'Gov Exp'!AI651-'Gov Exp'!AK651</f>
        <v>0</v>
      </c>
      <c r="AM651" s="6" t="str">
        <f>'Gov Rev'!A651</f>
        <v>West Salem</v>
      </c>
      <c r="AN651" s="6" t="str">
        <f t="shared" si="28"/>
        <v>West Salem</v>
      </c>
      <c r="AO651" s="6" t="b">
        <f t="shared" si="29"/>
        <v>1</v>
      </c>
    </row>
    <row r="652" spans="1:41" x14ac:dyDescent="0.2">
      <c r="A652" s="6" t="s">
        <v>0</v>
      </c>
      <c r="C652" s="6" t="s">
        <v>616</v>
      </c>
      <c r="E652" s="8">
        <v>569072.79</v>
      </c>
      <c r="G652" s="8">
        <v>12796.21</v>
      </c>
      <c r="I652" s="8">
        <v>0</v>
      </c>
      <c r="K652" s="8">
        <v>213.5</v>
      </c>
      <c r="M652" s="8">
        <v>0</v>
      </c>
      <c r="O652" s="8">
        <v>135419.54999999999</v>
      </c>
      <c r="Q652" s="8">
        <v>315221.07</v>
      </c>
      <c r="S652" s="8">
        <v>0</v>
      </c>
      <c r="U652" s="8">
        <v>0</v>
      </c>
      <c r="W652" s="8">
        <v>0</v>
      </c>
      <c r="Y652" s="8">
        <v>0</v>
      </c>
      <c r="AA652" s="8">
        <v>0</v>
      </c>
      <c r="AC652" s="8">
        <v>56935.71</v>
      </c>
      <c r="AE652" s="8">
        <f t="shared" si="27"/>
        <v>1089658.83</v>
      </c>
      <c r="AF652" s="8"/>
      <c r="AG652" s="55">
        <v>56943.92</v>
      </c>
      <c r="AH652" s="55"/>
      <c r="AI652" s="55">
        <v>1514636.27</v>
      </c>
      <c r="AJ652" s="55"/>
      <c r="AK652" s="55">
        <v>1571580.19</v>
      </c>
      <c r="AL652" s="8">
        <f>+'Gov Rev'!AI652-'Gov Exp'!AE652+'Gov Exp'!AI652-'Gov Exp'!AK652</f>
        <v>0</v>
      </c>
      <c r="AM652" s="6" t="str">
        <f>'Gov Rev'!A652</f>
        <v>West Union</v>
      </c>
      <c r="AN652" s="6" t="str">
        <f t="shared" si="28"/>
        <v>West Union</v>
      </c>
      <c r="AO652" s="6" t="b">
        <f t="shared" si="29"/>
        <v>1</v>
      </c>
    </row>
    <row r="653" spans="1:41" x14ac:dyDescent="0.2">
      <c r="A653" s="6" t="s">
        <v>557</v>
      </c>
      <c r="C653" s="6" t="s">
        <v>554</v>
      </c>
      <c r="E653" s="8">
        <v>310529.34999999998</v>
      </c>
      <c r="G653" s="8">
        <v>159.22</v>
      </c>
      <c r="I653" s="8">
        <v>12260.64</v>
      </c>
      <c r="K653" s="8">
        <v>2430.19</v>
      </c>
      <c r="M653" s="8">
        <v>17258.150000000001</v>
      </c>
      <c r="O653" s="8">
        <v>97645.95</v>
      </c>
      <c r="Q653" s="8">
        <v>220591.45</v>
      </c>
      <c r="S653" s="8">
        <v>313694.77</v>
      </c>
      <c r="U653" s="8">
        <v>159266.69</v>
      </c>
      <c r="W653" s="8">
        <v>66984.91</v>
      </c>
      <c r="Y653" s="8">
        <v>0</v>
      </c>
      <c r="AA653" s="8">
        <v>0</v>
      </c>
      <c r="AC653" s="8">
        <v>0</v>
      </c>
      <c r="AE653" s="8">
        <f t="shared" si="27"/>
        <v>1200821.3199999998</v>
      </c>
      <c r="AF653" s="8"/>
      <c r="AG653" s="55">
        <v>-19899.52</v>
      </c>
      <c r="AH653" s="55"/>
      <c r="AI653" s="55">
        <v>1361360.28</v>
      </c>
      <c r="AJ653" s="55"/>
      <c r="AK653" s="55">
        <v>1341460.76</v>
      </c>
      <c r="AL653" s="8">
        <f>+'Gov Rev'!AI653-'Gov Exp'!AE653+'Gov Exp'!AI653-'Gov Exp'!AK653</f>
        <v>0</v>
      </c>
      <c r="AM653" s="6" t="str">
        <f>'Gov Rev'!A653</f>
        <v>West Unity</v>
      </c>
      <c r="AN653" s="6" t="str">
        <f t="shared" si="28"/>
        <v>West Unity</v>
      </c>
      <c r="AO653" s="6" t="b">
        <f t="shared" si="29"/>
        <v>1</v>
      </c>
    </row>
    <row r="654" spans="1:41" x14ac:dyDescent="0.2">
      <c r="A654" s="6" t="s">
        <v>853</v>
      </c>
      <c r="C654" s="6" t="s">
        <v>823</v>
      </c>
      <c r="E654" s="8">
        <v>296807.03999999998</v>
      </c>
      <c r="G654" s="8">
        <v>1836.72</v>
      </c>
      <c r="I654" s="8">
        <v>14010.82</v>
      </c>
      <c r="K654" s="8">
        <v>8672.51</v>
      </c>
      <c r="M654" s="8">
        <v>0</v>
      </c>
      <c r="O654" s="8">
        <v>194365.13</v>
      </c>
      <c r="Q654" s="8">
        <v>344802.48</v>
      </c>
      <c r="S654" s="8">
        <v>110072.08</v>
      </c>
      <c r="U654" s="8">
        <v>0</v>
      </c>
      <c r="W654" s="8">
        <v>0</v>
      </c>
      <c r="Y654" s="8">
        <v>166000</v>
      </c>
      <c r="AA654" s="8">
        <v>0</v>
      </c>
      <c r="AC654" s="8">
        <v>0</v>
      </c>
      <c r="AE654" s="8">
        <f t="shared" si="27"/>
        <v>1136566.7799999998</v>
      </c>
      <c r="AF654" s="8"/>
      <c r="AG654" s="55">
        <v>638264.96</v>
      </c>
      <c r="AH654" s="55"/>
      <c r="AI654" s="55">
        <v>1090471.8400000001</v>
      </c>
      <c r="AJ654" s="55"/>
      <c r="AK654" s="55">
        <v>1728736.8</v>
      </c>
      <c r="AL654" s="8">
        <f>+'Gov Rev'!AI654-'Gov Exp'!AE654+'Gov Exp'!AI654-'Gov Exp'!AK654</f>
        <v>0</v>
      </c>
      <c r="AM654" s="6" t="str">
        <f>'Gov Rev'!A654</f>
        <v>Westfield Center</v>
      </c>
      <c r="AN654" s="6" t="str">
        <f t="shared" si="28"/>
        <v>Westfield Center</v>
      </c>
      <c r="AO654" s="6" t="b">
        <f t="shared" si="29"/>
        <v>1</v>
      </c>
    </row>
    <row r="655" spans="1:41" x14ac:dyDescent="0.2">
      <c r="A655" s="6" t="s">
        <v>245</v>
      </c>
      <c r="C655" s="6" t="s">
        <v>558</v>
      </c>
      <c r="E655" s="8">
        <v>308360.8</v>
      </c>
      <c r="G655" s="8">
        <v>85300.52</v>
      </c>
      <c r="I655" s="8">
        <v>33012.17</v>
      </c>
      <c r="K655" s="8">
        <v>51.11</v>
      </c>
      <c r="M655" s="8">
        <v>0</v>
      </c>
      <c r="O655" s="8">
        <v>57059.05</v>
      </c>
      <c r="Q655" s="8">
        <v>165749.07999999999</v>
      </c>
      <c r="S655" s="8">
        <v>95070.84</v>
      </c>
      <c r="U655" s="8">
        <v>0</v>
      </c>
      <c r="W655" s="8">
        <v>0</v>
      </c>
      <c r="Y655" s="8">
        <v>0</v>
      </c>
      <c r="AA655" s="8">
        <v>0</v>
      </c>
      <c r="AC655" s="8">
        <v>0</v>
      </c>
      <c r="AE655" s="8">
        <f t="shared" si="27"/>
        <v>744603.57</v>
      </c>
      <c r="AF655" s="8"/>
      <c r="AG655" s="55">
        <v>-155521.66</v>
      </c>
      <c r="AH655" s="55"/>
      <c r="AI655" s="55">
        <v>968858.08</v>
      </c>
      <c r="AJ655" s="55"/>
      <c r="AK655" s="55">
        <v>813336.42</v>
      </c>
      <c r="AL655" s="8">
        <f>+'Gov Rev'!AI655-'Gov Exp'!AE655+'Gov Exp'!AI655-'Gov Exp'!AK655</f>
        <v>0</v>
      </c>
      <c r="AM655" s="6" t="str">
        <f>'Gov Rev'!A655</f>
        <v>Weston</v>
      </c>
      <c r="AN655" s="6" t="str">
        <f t="shared" si="28"/>
        <v>Weston</v>
      </c>
      <c r="AO655" s="6" t="b">
        <f t="shared" si="29"/>
        <v>1</v>
      </c>
    </row>
    <row r="656" spans="1:41" x14ac:dyDescent="0.2">
      <c r="AE656" s="8"/>
      <c r="AF656" s="8"/>
      <c r="AG656" s="55"/>
      <c r="AH656" s="55"/>
      <c r="AI656" s="55"/>
      <c r="AJ656" s="55"/>
      <c r="AK656" s="55"/>
      <c r="AL656" s="8"/>
    </row>
    <row r="657" spans="1:41" ht="12.75" x14ac:dyDescent="0.2">
      <c r="AE657" s="88" t="s">
        <v>733</v>
      </c>
      <c r="AF657" s="8"/>
      <c r="AG657" s="55"/>
      <c r="AH657" s="55"/>
      <c r="AI657" s="55"/>
      <c r="AJ657" s="55"/>
      <c r="AK657" s="55"/>
      <c r="AL657" s="8"/>
    </row>
    <row r="658" spans="1:41" x14ac:dyDescent="0.2">
      <c r="AE658" s="8"/>
      <c r="AF658" s="8"/>
      <c r="AG658" s="55"/>
      <c r="AH658" s="55"/>
      <c r="AI658" s="55"/>
      <c r="AJ658" s="55"/>
      <c r="AK658" s="55"/>
      <c r="AL658" s="8"/>
    </row>
    <row r="659" spans="1:41" ht="12" customHeight="1" x14ac:dyDescent="0.2">
      <c r="A659" s="6" t="s">
        <v>780</v>
      </c>
      <c r="C659" s="6" t="s">
        <v>566</v>
      </c>
      <c r="E659" s="54">
        <v>236</v>
      </c>
      <c r="G659" s="18">
        <v>4966</v>
      </c>
      <c r="H659" s="18"/>
      <c r="I659" s="18">
        <v>0</v>
      </c>
      <c r="J659" s="18"/>
      <c r="K659" s="18">
        <v>0</v>
      </c>
      <c r="L659" s="18"/>
      <c r="M659" s="18">
        <v>0</v>
      </c>
      <c r="N659" s="18"/>
      <c r="O659" s="18">
        <v>2657</v>
      </c>
      <c r="P659" s="18"/>
      <c r="Q659" s="18">
        <v>31147</v>
      </c>
      <c r="R659" s="18"/>
      <c r="S659" s="18">
        <v>0</v>
      </c>
      <c r="T659" s="18"/>
      <c r="U659" s="18">
        <v>0</v>
      </c>
      <c r="V659" s="18"/>
      <c r="W659" s="18">
        <v>0</v>
      </c>
      <c r="X659" s="18"/>
      <c r="Y659" s="18">
        <v>0</v>
      </c>
      <c r="Z659" s="18"/>
      <c r="AA659" s="18">
        <v>0</v>
      </c>
      <c r="AB659" s="18"/>
      <c r="AC659" s="18">
        <v>0</v>
      </c>
      <c r="AD659" s="18"/>
      <c r="AE659" s="18">
        <f t="shared" si="27"/>
        <v>39006</v>
      </c>
      <c r="AF659" s="18"/>
      <c r="AG659" s="64"/>
      <c r="AH659" s="64"/>
      <c r="AI659" s="64"/>
      <c r="AJ659" s="64"/>
      <c r="AK659" s="64"/>
      <c r="AL659" s="8">
        <f>+'Gov Rev'!AI656-'Gov Exp'!AE659+'Gov Exp'!AI659-'Gov Exp'!AK659</f>
        <v>17882</v>
      </c>
      <c r="AM659" s="6" t="str">
        <f>'Gov Rev'!A656</f>
        <v>Wharton</v>
      </c>
      <c r="AN659" s="6" t="str">
        <f t="shared" si="28"/>
        <v>Wharton</v>
      </c>
      <c r="AO659" s="6" t="b">
        <f t="shared" si="29"/>
        <v>1</v>
      </c>
    </row>
    <row r="660" spans="1:41" x14ac:dyDescent="0.2">
      <c r="A660" s="6" t="s">
        <v>425</v>
      </c>
      <c r="C660" s="6" t="s">
        <v>423</v>
      </c>
      <c r="E660" s="8">
        <v>2321969</v>
      </c>
      <c r="G660" s="8">
        <v>18900</v>
      </c>
      <c r="I660" s="8">
        <v>51217</v>
      </c>
      <c r="K660" s="8">
        <v>136260</v>
      </c>
      <c r="M660" s="8">
        <v>252369</v>
      </c>
      <c r="O660" s="8">
        <v>449238</v>
      </c>
      <c r="Q660" s="8">
        <v>793423</v>
      </c>
      <c r="S660" s="8">
        <v>986233</v>
      </c>
      <c r="U660" s="8">
        <v>286251</v>
      </c>
      <c r="W660" s="8">
        <v>0</v>
      </c>
      <c r="Y660" s="8">
        <v>3044520</v>
      </c>
      <c r="AA660" s="8">
        <v>0</v>
      </c>
      <c r="AC660" s="8">
        <v>1057162</v>
      </c>
      <c r="AE660" s="8">
        <f t="shared" si="27"/>
        <v>9397542</v>
      </c>
      <c r="AF660" s="8"/>
      <c r="AG660" s="55"/>
      <c r="AH660" s="55"/>
      <c r="AI660" s="55"/>
      <c r="AJ660" s="55"/>
      <c r="AK660" s="55"/>
      <c r="AL660" s="8">
        <f>+'Gov Rev'!AI657-'Gov Exp'!AE660+'Gov Exp'!AI660-'Gov Exp'!AK660</f>
        <v>-579467</v>
      </c>
      <c r="AM660" s="6" t="str">
        <f>'Gov Rev'!A657</f>
        <v>Whitehouse</v>
      </c>
      <c r="AN660" s="6" t="str">
        <f t="shared" si="28"/>
        <v>Whitehouse</v>
      </c>
      <c r="AO660" s="6" t="b">
        <f t="shared" si="29"/>
        <v>1</v>
      </c>
    </row>
    <row r="661" spans="1:41" x14ac:dyDescent="0.2">
      <c r="A661" s="6" t="s">
        <v>537</v>
      </c>
      <c r="C661" s="6" t="s">
        <v>77</v>
      </c>
      <c r="E661" s="8">
        <v>2290</v>
      </c>
      <c r="G661" s="8">
        <v>0</v>
      </c>
      <c r="I661" s="8">
        <v>0</v>
      </c>
      <c r="K661" s="8">
        <v>0</v>
      </c>
      <c r="M661" s="8">
        <v>265</v>
      </c>
      <c r="O661" s="8">
        <v>2797</v>
      </c>
      <c r="Q661" s="8">
        <v>9930</v>
      </c>
      <c r="S661" s="8">
        <v>0</v>
      </c>
      <c r="U661" s="8">
        <v>0</v>
      </c>
      <c r="W661" s="8">
        <v>0</v>
      </c>
      <c r="Y661" s="8">
        <v>0</v>
      </c>
      <c r="AA661" s="8">
        <v>0</v>
      </c>
      <c r="AC661" s="8">
        <v>0</v>
      </c>
      <c r="AE661" s="8">
        <f t="shared" si="27"/>
        <v>15282</v>
      </c>
      <c r="AF661" s="8"/>
      <c r="AG661" s="55"/>
      <c r="AH661" s="55"/>
      <c r="AI661" s="55"/>
      <c r="AJ661" s="55"/>
      <c r="AK661" s="55"/>
      <c r="AL661" s="8">
        <f>+'Gov Rev'!AI658-'Gov Exp'!AE661+'Gov Exp'!AI661-'Gov Exp'!AK661</f>
        <v>3220</v>
      </c>
      <c r="AM661" s="6" t="str">
        <f>'Gov Rev'!A658</f>
        <v>Wilkesville</v>
      </c>
      <c r="AN661" s="6" t="str">
        <f t="shared" si="28"/>
        <v>Wilkesville</v>
      </c>
      <c r="AO661" s="6" t="b">
        <f t="shared" si="29"/>
        <v>1</v>
      </c>
    </row>
    <row r="662" spans="1:41" x14ac:dyDescent="0.2">
      <c r="A662" s="6" t="s">
        <v>39</v>
      </c>
      <c r="C662" s="6" t="s">
        <v>277</v>
      </c>
      <c r="E662" s="8">
        <v>372714.07</v>
      </c>
      <c r="G662" s="8">
        <v>2998.33</v>
      </c>
      <c r="I662" s="8">
        <v>21199.279999999999</v>
      </c>
      <c r="K662" s="8">
        <v>38528.78</v>
      </c>
      <c r="M662" s="8">
        <v>0</v>
      </c>
      <c r="O662" s="8">
        <v>126323.35</v>
      </c>
      <c r="Q662" s="8">
        <v>146781.76000000001</v>
      </c>
      <c r="S662" s="8">
        <v>110721.61</v>
      </c>
      <c r="U662" s="8">
        <v>0</v>
      </c>
      <c r="W662" s="8">
        <v>0</v>
      </c>
      <c r="Y662" s="8">
        <v>125003.4</v>
      </c>
      <c r="AA662" s="8">
        <v>0</v>
      </c>
      <c r="AC662" s="8">
        <v>0</v>
      </c>
      <c r="AE662" s="8">
        <f t="shared" si="27"/>
        <v>944270.58000000007</v>
      </c>
      <c r="AF662" s="8"/>
      <c r="AG662" s="55">
        <v>41928.959999999999</v>
      </c>
      <c r="AH662" s="55"/>
      <c r="AI662" s="55">
        <v>1027690.56</v>
      </c>
      <c r="AJ662" s="55"/>
      <c r="AK662" s="55">
        <v>1069619.52</v>
      </c>
      <c r="AL662" s="8">
        <f>+'Gov Rev'!AI659-'Gov Exp'!AE662+'Gov Exp'!AI662-'Gov Exp'!AK662</f>
        <v>0</v>
      </c>
      <c r="AM662" s="6" t="str">
        <f>'Gov Rev'!A659</f>
        <v>Williamsburg</v>
      </c>
      <c r="AN662" s="6" t="str">
        <f t="shared" si="28"/>
        <v>Williamsburg</v>
      </c>
      <c r="AO662" s="6" t="b">
        <f t="shared" si="29"/>
        <v>1</v>
      </c>
    </row>
    <row r="663" spans="1:41" x14ac:dyDescent="0.2">
      <c r="A663" s="6" t="s">
        <v>177</v>
      </c>
      <c r="C663" s="6" t="s">
        <v>467</v>
      </c>
      <c r="E663" s="8">
        <v>41584.879999999997</v>
      </c>
      <c r="G663" s="8">
        <v>553.72</v>
      </c>
      <c r="I663" s="8">
        <v>12769.35</v>
      </c>
      <c r="K663" s="8">
        <v>4029.36</v>
      </c>
      <c r="M663" s="8">
        <v>0</v>
      </c>
      <c r="O663" s="8">
        <v>44925.08</v>
      </c>
      <c r="Q663" s="8">
        <v>42750.97</v>
      </c>
      <c r="S663" s="8">
        <v>6203.2</v>
      </c>
      <c r="U663" s="8">
        <v>3407.48</v>
      </c>
      <c r="W663" s="8">
        <v>0</v>
      </c>
      <c r="Y663" s="8">
        <v>0</v>
      </c>
      <c r="AA663" s="8">
        <v>0</v>
      </c>
      <c r="AC663" s="8">
        <v>0</v>
      </c>
      <c r="AE663" s="8">
        <f t="shared" si="27"/>
        <v>156224.04</v>
      </c>
      <c r="AF663" s="8"/>
      <c r="AG663" s="55">
        <v>4603.32</v>
      </c>
      <c r="AH663" s="55"/>
      <c r="AI663" s="55">
        <v>366019.31</v>
      </c>
      <c r="AJ663" s="55"/>
      <c r="AK663" s="55">
        <v>370622.63</v>
      </c>
      <c r="AL663" s="8">
        <f>+'Gov Rev'!AI660-'Gov Exp'!AE663+'Gov Exp'!AI663-'Gov Exp'!AK663</f>
        <v>0</v>
      </c>
      <c r="AM663" s="6" t="str">
        <f>'Gov Rev'!A660</f>
        <v>Williamsport</v>
      </c>
      <c r="AN663" s="6" t="str">
        <f t="shared" si="28"/>
        <v>Williamsport</v>
      </c>
      <c r="AO663" s="6" t="b">
        <f t="shared" si="29"/>
        <v>1</v>
      </c>
    </row>
    <row r="664" spans="1:41" x14ac:dyDescent="0.2">
      <c r="A664" s="6" t="s">
        <v>536</v>
      </c>
      <c r="C664" s="6" t="s">
        <v>532</v>
      </c>
      <c r="E664" s="8">
        <v>51143.78</v>
      </c>
      <c r="G664" s="8">
        <v>10372.01</v>
      </c>
      <c r="I664" s="8">
        <v>0</v>
      </c>
      <c r="K664" s="8">
        <v>0</v>
      </c>
      <c r="M664" s="8">
        <v>0</v>
      </c>
      <c r="O664" s="8">
        <v>40135.93</v>
      </c>
      <c r="Q664" s="8">
        <v>76143.05</v>
      </c>
      <c r="S664" s="8">
        <v>14413.85</v>
      </c>
      <c r="U664" s="8">
        <v>0</v>
      </c>
      <c r="W664" s="8">
        <v>0</v>
      </c>
      <c r="Y664" s="8">
        <v>0</v>
      </c>
      <c r="AA664" s="8">
        <v>0</v>
      </c>
      <c r="AC664" s="8">
        <v>0</v>
      </c>
      <c r="AE664" s="8">
        <f t="shared" si="27"/>
        <v>192208.62000000002</v>
      </c>
      <c r="AF664" s="8"/>
      <c r="AG664" s="55">
        <v>-24645.360000000001</v>
      </c>
      <c r="AH664" s="55"/>
      <c r="AI664" s="55">
        <v>298842.71000000002</v>
      </c>
      <c r="AJ664" s="55"/>
      <c r="AK664" s="55">
        <v>274197.34999999998</v>
      </c>
      <c r="AL664" s="8">
        <f>+'Gov Rev'!AI661-'Gov Exp'!AE664+'Gov Exp'!AI664-'Gov Exp'!AK664</f>
        <v>0</v>
      </c>
      <c r="AM664" s="6" t="str">
        <f>'Gov Rev'!A661</f>
        <v>Willshire</v>
      </c>
      <c r="AN664" s="6" t="str">
        <f t="shared" si="28"/>
        <v>Willshire</v>
      </c>
      <c r="AO664" s="6" t="b">
        <f t="shared" si="29"/>
        <v>1</v>
      </c>
    </row>
    <row r="665" spans="1:41" x14ac:dyDescent="0.2">
      <c r="A665" s="6" t="s">
        <v>728</v>
      </c>
      <c r="C665" s="6" t="s">
        <v>502</v>
      </c>
      <c r="E665" s="8">
        <v>69042.960000000006</v>
      </c>
      <c r="G665" s="8">
        <v>1019</v>
      </c>
      <c r="I665" s="8">
        <v>674.17</v>
      </c>
      <c r="K665" s="8">
        <v>100</v>
      </c>
      <c r="M665" s="8">
        <v>456</v>
      </c>
      <c r="O665" s="8">
        <v>14853.15</v>
      </c>
      <c r="Q665" s="8">
        <v>56401.86</v>
      </c>
      <c r="S665" s="8">
        <v>0</v>
      </c>
      <c r="U665" s="8">
        <v>2959.71</v>
      </c>
      <c r="W665" s="8">
        <v>299.61</v>
      </c>
      <c r="Y665" s="8">
        <v>0</v>
      </c>
      <c r="AA665" s="8">
        <v>0</v>
      </c>
      <c r="AC665" s="8">
        <v>0</v>
      </c>
      <c r="AE665" s="8">
        <f t="shared" si="27"/>
        <v>145806.46</v>
      </c>
      <c r="AF665" s="8"/>
      <c r="AG665" s="55">
        <v>-11654.4</v>
      </c>
      <c r="AH665" s="55"/>
      <c r="AI665" s="55">
        <v>92255.81</v>
      </c>
      <c r="AJ665" s="55"/>
      <c r="AK665" s="55">
        <v>80601.41</v>
      </c>
      <c r="AL665" s="8">
        <f>+'Gov Rev'!AI662-'Gov Exp'!AE665+'Gov Exp'!AI665-'Gov Exp'!AK665</f>
        <v>0</v>
      </c>
      <c r="AM665" s="6" t="str">
        <f>'Gov Rev'!A662</f>
        <v>Wilmot</v>
      </c>
      <c r="AN665" s="6" t="str">
        <f t="shared" si="28"/>
        <v>Wilmot</v>
      </c>
      <c r="AO665" s="6" t="b">
        <f t="shared" si="29"/>
        <v>1</v>
      </c>
    </row>
    <row r="666" spans="1:41" x14ac:dyDescent="0.2">
      <c r="A666" s="6" t="s">
        <v>445</v>
      </c>
      <c r="C666" s="6" t="s">
        <v>441</v>
      </c>
      <c r="E666" s="8">
        <f>2605+2645</f>
        <v>5250</v>
      </c>
      <c r="G666" s="8">
        <v>0</v>
      </c>
      <c r="I666" s="8">
        <v>0</v>
      </c>
      <c r="K666" s="8">
        <v>0</v>
      </c>
      <c r="M666" s="8">
        <v>0</v>
      </c>
      <c r="O666" s="8">
        <v>0</v>
      </c>
      <c r="Q666" s="8">
        <f>8096+730</f>
        <v>8826</v>
      </c>
      <c r="S666" s="8">
        <v>0</v>
      </c>
      <c r="U666" s="8">
        <v>2912</v>
      </c>
      <c r="W666" s="8">
        <v>0</v>
      </c>
      <c r="Y666" s="8">
        <v>0</v>
      </c>
      <c r="AA666" s="8">
        <v>0</v>
      </c>
      <c r="AC666" s="8">
        <v>0</v>
      </c>
      <c r="AE666" s="8">
        <f t="shared" si="27"/>
        <v>16988</v>
      </c>
      <c r="AF666" s="8"/>
      <c r="AG666" s="55"/>
      <c r="AH666" s="55"/>
      <c r="AI666" s="55"/>
      <c r="AJ666" s="55"/>
      <c r="AK666" s="55"/>
      <c r="AL666" s="8">
        <f>+'Gov Rev'!AI663-'Gov Exp'!AE666+'Gov Exp'!AI666-'Gov Exp'!AK666</f>
        <v>6299</v>
      </c>
      <c r="AM666" s="6" t="str">
        <f>'Gov Rev'!A663</f>
        <v>Wilson</v>
      </c>
      <c r="AN666" s="6" t="str">
        <f t="shared" si="28"/>
        <v>Wilson</v>
      </c>
      <c r="AO666" s="6" t="b">
        <f t="shared" si="29"/>
        <v>1</v>
      </c>
    </row>
    <row r="667" spans="1:41" x14ac:dyDescent="0.2">
      <c r="A667" s="6" t="s">
        <v>1</v>
      </c>
      <c r="C667" s="6" t="s">
        <v>616</v>
      </c>
      <c r="E667" s="8">
        <v>151856.44</v>
      </c>
      <c r="G667" s="8">
        <v>0</v>
      </c>
      <c r="I667" s="8">
        <v>0</v>
      </c>
      <c r="K667" s="8">
        <v>0</v>
      </c>
      <c r="M667" s="8">
        <v>0</v>
      </c>
      <c r="O667" s="8">
        <v>44245.05</v>
      </c>
      <c r="Q667" s="8">
        <v>53056.26</v>
      </c>
      <c r="S667" s="8">
        <v>13549.86</v>
      </c>
      <c r="U667" s="8">
        <v>7680</v>
      </c>
      <c r="W667" s="8">
        <v>500</v>
      </c>
      <c r="Y667" s="8">
        <v>0</v>
      </c>
      <c r="AA667" s="8">
        <v>20000</v>
      </c>
      <c r="AC667" s="8">
        <v>0</v>
      </c>
      <c r="AE667" s="8">
        <f t="shared" si="27"/>
        <v>290887.61</v>
      </c>
      <c r="AF667" s="8"/>
      <c r="AG667" s="55">
        <v>53732.02</v>
      </c>
      <c r="AH667" s="55"/>
      <c r="AI667" s="55">
        <v>176393.96</v>
      </c>
      <c r="AJ667" s="55"/>
      <c r="AK667" s="55">
        <v>230125.98</v>
      </c>
      <c r="AL667" s="8">
        <f>+'Gov Rev'!AI664-'Gov Exp'!AE667+'Gov Exp'!AI667-'Gov Exp'!AK667</f>
        <v>0</v>
      </c>
      <c r="AM667" s="6" t="str">
        <f>'Gov Rev'!A664</f>
        <v>Winchester</v>
      </c>
      <c r="AN667" s="6" t="str">
        <f t="shared" si="28"/>
        <v>Winchester</v>
      </c>
      <c r="AO667" s="6" t="b">
        <f t="shared" si="29"/>
        <v>1</v>
      </c>
    </row>
    <row r="668" spans="1:41" x14ac:dyDescent="0.2">
      <c r="A668" s="6" t="s">
        <v>182</v>
      </c>
      <c r="C668" s="6" t="s">
        <v>241</v>
      </c>
      <c r="E668" s="8">
        <v>477186.6</v>
      </c>
      <c r="G668" s="8">
        <v>0</v>
      </c>
      <c r="I668" s="8">
        <v>1823.38</v>
      </c>
      <c r="K668" s="8">
        <v>12051.93</v>
      </c>
      <c r="M668" s="8">
        <v>1169.8</v>
      </c>
      <c r="O668" s="8">
        <v>87423.64</v>
      </c>
      <c r="Q668" s="8">
        <v>174981.9</v>
      </c>
      <c r="S668" s="8">
        <v>264800</v>
      </c>
      <c r="U668" s="8">
        <v>0</v>
      </c>
      <c r="W668" s="8">
        <v>0</v>
      </c>
      <c r="Y668" s="8">
        <v>0</v>
      </c>
      <c r="AA668" s="8">
        <v>0</v>
      </c>
      <c r="AC668" s="8">
        <v>0</v>
      </c>
      <c r="AE668" s="8">
        <f t="shared" si="27"/>
        <v>1019437.25</v>
      </c>
      <c r="AF668" s="8"/>
      <c r="AG668" s="55">
        <v>18736.91</v>
      </c>
      <c r="AH668" s="55"/>
      <c r="AI668" s="55">
        <v>205387.6</v>
      </c>
      <c r="AJ668" s="55"/>
      <c r="AK668" s="55">
        <v>224124.51</v>
      </c>
      <c r="AL668" s="8">
        <f>+'Gov Rev'!AI665-'Gov Exp'!AE668+'Gov Exp'!AI668-'Gov Exp'!AK668</f>
        <v>0</v>
      </c>
      <c r="AM668" s="6" t="str">
        <f>'Gov Rev'!A665</f>
        <v>Windham</v>
      </c>
      <c r="AN668" s="6" t="str">
        <f t="shared" si="28"/>
        <v>Windham</v>
      </c>
      <c r="AO668" s="6" t="b">
        <f t="shared" si="29"/>
        <v>1</v>
      </c>
    </row>
    <row r="669" spans="1:41" x14ac:dyDescent="0.2">
      <c r="A669" s="6" t="s">
        <v>729</v>
      </c>
      <c r="C669" s="6" t="s">
        <v>390</v>
      </c>
      <c r="E669" s="8">
        <v>1086431.22</v>
      </c>
      <c r="G669" s="8">
        <v>13707.18</v>
      </c>
      <c r="I669" s="8">
        <v>41273.11</v>
      </c>
      <c r="K669" s="8">
        <v>2465.62</v>
      </c>
      <c r="M669" s="8">
        <v>0</v>
      </c>
      <c r="O669" s="8">
        <v>1103216.3400000001</v>
      </c>
      <c r="Q669" s="8">
        <v>377509.61</v>
      </c>
      <c r="S669" s="8">
        <v>0</v>
      </c>
      <c r="U669" s="8">
        <v>66828.2</v>
      </c>
      <c r="W669" s="8">
        <v>12144.23</v>
      </c>
      <c r="Y669" s="8">
        <v>172585.87</v>
      </c>
      <c r="AA669" s="8">
        <v>161000</v>
      </c>
      <c r="AC669" s="8">
        <v>588.19000000000005</v>
      </c>
      <c r="AE669" s="8">
        <f t="shared" si="27"/>
        <v>3037749.5700000003</v>
      </c>
      <c r="AF669" s="8"/>
      <c r="AG669" s="55">
        <v>-100772.98</v>
      </c>
      <c r="AH669" s="55"/>
      <c r="AI669" s="55">
        <v>487225.53</v>
      </c>
      <c r="AJ669" s="55"/>
      <c r="AK669" s="55">
        <v>386452.55</v>
      </c>
      <c r="AL669" s="8">
        <f>+'Gov Rev'!AI666-'Gov Exp'!AE669+'Gov Exp'!AI669-'Gov Exp'!AK669</f>
        <v>-8.7311491370201111E-10</v>
      </c>
      <c r="AM669" s="6" t="str">
        <f>'Gov Rev'!A666</f>
        <v>Wintersville</v>
      </c>
      <c r="AN669" s="6" t="str">
        <f t="shared" si="28"/>
        <v>Wintersville</v>
      </c>
      <c r="AO669" s="6" t="b">
        <f t="shared" si="29"/>
        <v>1</v>
      </c>
    </row>
    <row r="670" spans="1:41" x14ac:dyDescent="0.2">
      <c r="A670" s="6" t="s">
        <v>358</v>
      </c>
      <c r="C670" s="6" t="s">
        <v>351</v>
      </c>
      <c r="E670" s="8">
        <v>2926552</v>
      </c>
      <c r="G670" s="8">
        <v>28530</v>
      </c>
      <c r="I670" s="8">
        <v>618441</v>
      </c>
      <c r="K670" s="8">
        <v>85232</v>
      </c>
      <c r="M670" s="8">
        <v>299755</v>
      </c>
      <c r="O670" s="8">
        <v>322415</v>
      </c>
      <c r="Q670" s="8">
        <v>1839640</v>
      </c>
      <c r="S670" s="8">
        <v>53657</v>
      </c>
      <c r="U670" s="8">
        <v>384765</v>
      </c>
      <c r="W670" s="8">
        <v>150061</v>
      </c>
      <c r="Y670" s="8">
        <v>499630</v>
      </c>
      <c r="AA670" s="8">
        <v>0</v>
      </c>
      <c r="AC670" s="8">
        <v>0</v>
      </c>
      <c r="AE670" s="8">
        <f t="shared" si="27"/>
        <v>7208678</v>
      </c>
      <c r="AF670" s="8"/>
      <c r="AG670" s="55"/>
      <c r="AH670" s="55"/>
      <c r="AI670" s="55"/>
      <c r="AJ670" s="55"/>
      <c r="AK670" s="55"/>
      <c r="AL670" s="8">
        <f>+'Gov Rev'!AI667-'Gov Exp'!AE670+'Gov Exp'!AI670-'Gov Exp'!AK670</f>
        <v>-147977</v>
      </c>
      <c r="AM670" s="6" t="str">
        <f>'Gov Rev'!A667</f>
        <v>Woodlawn</v>
      </c>
      <c r="AN670" s="6" t="str">
        <f t="shared" si="28"/>
        <v>Woodlawn</v>
      </c>
      <c r="AO670" s="6" t="b">
        <f t="shared" si="29"/>
        <v>1</v>
      </c>
    </row>
    <row r="671" spans="1:41" x14ac:dyDescent="0.2">
      <c r="A671" s="6" t="s">
        <v>304</v>
      </c>
      <c r="C671" s="6" t="s">
        <v>293</v>
      </c>
      <c r="E671" s="8">
        <v>1554369</v>
      </c>
      <c r="G671" s="8">
        <v>2173</v>
      </c>
      <c r="I671" s="8">
        <v>0</v>
      </c>
      <c r="K671" s="8">
        <v>12371</v>
      </c>
      <c r="M671" s="8">
        <v>55791</v>
      </c>
      <c r="O671" s="8">
        <v>45394</v>
      </c>
      <c r="Q671" s="8">
        <v>908102</v>
      </c>
      <c r="S671" s="8">
        <v>453389</v>
      </c>
      <c r="U671" s="8">
        <v>367916</v>
      </c>
      <c r="W671" s="8">
        <v>0</v>
      </c>
      <c r="Y671" s="8">
        <v>75000</v>
      </c>
      <c r="AA671" s="8">
        <v>0</v>
      </c>
      <c r="AC671" s="8">
        <v>297872</v>
      </c>
      <c r="AE671" s="8">
        <f t="shared" si="27"/>
        <v>3772377</v>
      </c>
      <c r="AF671" s="8"/>
      <c r="AG671" s="55"/>
      <c r="AH671" s="55"/>
      <c r="AI671" s="55"/>
      <c r="AJ671" s="55"/>
      <c r="AK671" s="55"/>
      <c r="AL671" s="8">
        <f>+'Gov Rev'!AI668-'Gov Exp'!AE671+'Gov Exp'!AI671-'Gov Exp'!AK671</f>
        <v>423033</v>
      </c>
      <c r="AM671" s="6" t="str">
        <f>'Gov Rev'!A668</f>
        <v>Woodmere</v>
      </c>
      <c r="AN671" s="6" t="str">
        <f t="shared" si="28"/>
        <v>Woodmere</v>
      </c>
      <c r="AO671" s="6" t="b">
        <f t="shared" si="29"/>
        <v>1</v>
      </c>
    </row>
    <row r="672" spans="1:41" x14ac:dyDescent="0.2">
      <c r="A672" s="6" t="s">
        <v>152</v>
      </c>
      <c r="C672" s="6" t="s">
        <v>441</v>
      </c>
      <c r="E672" s="8">
        <v>419351.22</v>
      </c>
      <c r="G672" s="8">
        <v>103260.83</v>
      </c>
      <c r="I672" s="8">
        <v>79634.7</v>
      </c>
      <c r="K672" s="8">
        <v>0</v>
      </c>
      <c r="M672" s="8">
        <v>0</v>
      </c>
      <c r="O672" s="8">
        <v>285894.95</v>
      </c>
      <c r="Q672" s="8">
        <v>199638.48</v>
      </c>
      <c r="S672" s="8">
        <v>98736.2</v>
      </c>
      <c r="U672" s="8">
        <v>99905.05</v>
      </c>
      <c r="W672" s="8">
        <v>23033.1</v>
      </c>
      <c r="Y672" s="8">
        <v>0</v>
      </c>
      <c r="AA672" s="8">
        <v>0</v>
      </c>
      <c r="AC672" s="8">
        <v>0</v>
      </c>
      <c r="AE672" s="8">
        <f t="shared" si="27"/>
        <v>1309454.53</v>
      </c>
      <c r="AF672" s="8"/>
      <c r="AG672" s="55">
        <v>-71727.09</v>
      </c>
      <c r="AH672" s="55"/>
      <c r="AI672" s="55">
        <v>1751226.28</v>
      </c>
      <c r="AJ672" s="55"/>
      <c r="AK672" s="55">
        <v>1679499.19</v>
      </c>
      <c r="AL672" s="8">
        <f>+'Gov Rev'!AI669-'Gov Exp'!AE672+'Gov Exp'!AI672-'Gov Exp'!AK672</f>
        <v>0</v>
      </c>
      <c r="AM672" s="6" t="str">
        <f>'Gov Rev'!A669</f>
        <v>Woodsfield</v>
      </c>
      <c r="AN672" s="6" t="str">
        <f t="shared" si="28"/>
        <v>Woodsfield</v>
      </c>
      <c r="AO672" s="6" t="b">
        <f t="shared" si="29"/>
        <v>1</v>
      </c>
    </row>
    <row r="673" spans="1:41" x14ac:dyDescent="0.2">
      <c r="A673" s="6" t="s">
        <v>272</v>
      </c>
      <c r="C673" s="6" t="s">
        <v>269</v>
      </c>
      <c r="E673" s="8">
        <v>4758.8500000000004</v>
      </c>
      <c r="G673" s="8">
        <v>710.32</v>
      </c>
      <c r="I673" s="8">
        <v>3048.91</v>
      </c>
      <c r="K673" s="8">
        <v>487.5</v>
      </c>
      <c r="M673" s="8">
        <v>0</v>
      </c>
      <c r="O673" s="8">
        <v>11695.25</v>
      </c>
      <c r="Q673" s="8">
        <v>36275.699999999997</v>
      </c>
      <c r="S673" s="8">
        <v>25600.14</v>
      </c>
      <c r="U673" s="8">
        <v>0</v>
      </c>
      <c r="W673" s="8">
        <v>0</v>
      </c>
      <c r="Y673" s="8">
        <v>0</v>
      </c>
      <c r="AA673" s="8">
        <v>0</v>
      </c>
      <c r="AC673" s="8">
        <v>0</v>
      </c>
      <c r="AE673" s="8">
        <f t="shared" si="27"/>
        <v>82576.67</v>
      </c>
      <c r="AF673" s="8"/>
      <c r="AG673" s="55">
        <v>15402.71</v>
      </c>
      <c r="AH673" s="55"/>
      <c r="AI673" s="55">
        <v>80928.960000000006</v>
      </c>
      <c r="AJ673" s="55"/>
      <c r="AK673" s="55">
        <v>96331.67</v>
      </c>
      <c r="AL673" s="8">
        <f>+'Gov Rev'!AI670-'Gov Exp'!AE673+'Gov Exp'!AI673-'Gov Exp'!AK673</f>
        <v>0</v>
      </c>
      <c r="AM673" s="6" t="str">
        <f>'Gov Rev'!A670</f>
        <v>Woodstock</v>
      </c>
      <c r="AN673" s="6" t="str">
        <f t="shared" si="28"/>
        <v>Woodstock</v>
      </c>
      <c r="AO673" s="6" t="b">
        <f t="shared" si="29"/>
        <v>1</v>
      </c>
    </row>
    <row r="674" spans="1:41" x14ac:dyDescent="0.2">
      <c r="A674" s="6" t="s">
        <v>489</v>
      </c>
      <c r="C674" s="6" t="s">
        <v>487</v>
      </c>
      <c r="E674" s="8">
        <v>348713</v>
      </c>
      <c r="G674" s="8">
        <v>1144</v>
      </c>
      <c r="I674" s="8">
        <v>41144</v>
      </c>
      <c r="K674" s="8">
        <v>8957</v>
      </c>
      <c r="M674" s="8">
        <v>0</v>
      </c>
      <c r="O674" s="8">
        <v>112979</v>
      </c>
      <c r="Q674" s="8">
        <v>134222</v>
      </c>
      <c r="S674" s="8">
        <v>68911</v>
      </c>
      <c r="U674" s="8">
        <v>0</v>
      </c>
      <c r="W674" s="8">
        <v>0</v>
      </c>
      <c r="Y674" s="8">
        <v>66292</v>
      </c>
      <c r="AA674" s="8">
        <v>0</v>
      </c>
      <c r="AC674" s="8">
        <v>0</v>
      </c>
      <c r="AE674" s="8">
        <f t="shared" si="27"/>
        <v>782362</v>
      </c>
      <c r="AF674" s="8"/>
      <c r="AG674" s="55"/>
      <c r="AH674" s="55"/>
      <c r="AI674" s="55"/>
      <c r="AJ674" s="55"/>
      <c r="AK674" s="55"/>
      <c r="AL674" s="8">
        <f>+'Gov Rev'!AI671-'Gov Exp'!AE674+'Gov Exp'!AI674-'Gov Exp'!AK674</f>
        <v>17277</v>
      </c>
      <c r="AM674" s="6" t="str">
        <f>'Gov Rev'!A671</f>
        <v>Woodville</v>
      </c>
      <c r="AN674" s="6" t="str">
        <f t="shared" si="28"/>
        <v>Woodville</v>
      </c>
      <c r="AO674" s="6" t="b">
        <f t="shared" si="29"/>
        <v>1</v>
      </c>
    </row>
    <row r="675" spans="1:41" x14ac:dyDescent="0.2">
      <c r="A675" s="6" t="s">
        <v>224</v>
      </c>
      <c r="C675" s="6" t="s">
        <v>532</v>
      </c>
      <c r="E675" s="8">
        <v>150402.71</v>
      </c>
      <c r="G675" s="8">
        <v>1758.83</v>
      </c>
      <c r="I675" s="8">
        <v>0</v>
      </c>
      <c r="K675" s="8">
        <v>0</v>
      </c>
      <c r="M675" s="8">
        <v>0</v>
      </c>
      <c r="O675" s="8">
        <v>3524.2</v>
      </c>
      <c r="Q675" s="8">
        <v>35922.1</v>
      </c>
      <c r="S675" s="8">
        <v>164.25</v>
      </c>
      <c r="U675" s="8">
        <v>11586.54</v>
      </c>
      <c r="W675" s="8">
        <v>4299.5200000000004</v>
      </c>
      <c r="Y675" s="8">
        <v>0</v>
      </c>
      <c r="AA675" s="8">
        <v>0</v>
      </c>
      <c r="AC675" s="8">
        <v>7195.32</v>
      </c>
      <c r="AE675" s="8">
        <f t="shared" si="27"/>
        <v>214853.47</v>
      </c>
      <c r="AF675" s="8"/>
      <c r="AG675" s="55">
        <v>17503.61</v>
      </c>
      <c r="AH675" s="55"/>
      <c r="AI675" s="55">
        <v>177418.09</v>
      </c>
      <c r="AJ675" s="55"/>
      <c r="AK675" s="55">
        <v>194921.7</v>
      </c>
      <c r="AL675" s="8">
        <f>+'Gov Rev'!AI672-'Gov Exp'!AE675+'Gov Exp'!AI675-'Gov Exp'!AK675</f>
        <v>0</v>
      </c>
      <c r="AM675" s="6" t="str">
        <f>'Gov Rev'!A672</f>
        <v>Wren</v>
      </c>
      <c r="AN675" s="6" t="str">
        <f t="shared" si="28"/>
        <v>Wren</v>
      </c>
      <c r="AO675" s="6" t="b">
        <f t="shared" si="29"/>
        <v>1</v>
      </c>
    </row>
    <row r="676" spans="1:41" x14ac:dyDescent="0.2">
      <c r="A676" s="6" t="s">
        <v>216</v>
      </c>
      <c r="C676" s="6" t="s">
        <v>518</v>
      </c>
      <c r="E676" s="8">
        <v>2825.47</v>
      </c>
      <c r="G676" s="8">
        <v>0</v>
      </c>
      <c r="I676" s="8">
        <v>0</v>
      </c>
      <c r="K676" s="8">
        <v>0</v>
      </c>
      <c r="M676" s="8">
        <v>0</v>
      </c>
      <c r="O676" s="8">
        <v>1142.1400000000001</v>
      </c>
      <c r="Q676" s="8">
        <v>8858.2900000000009</v>
      </c>
      <c r="S676" s="8">
        <v>0</v>
      </c>
      <c r="U676" s="8">
        <v>0</v>
      </c>
      <c r="W676" s="8">
        <v>0</v>
      </c>
      <c r="Y676" s="8">
        <v>0</v>
      </c>
      <c r="AA676" s="8">
        <v>0</v>
      </c>
      <c r="AC676" s="8">
        <v>0</v>
      </c>
      <c r="AE676" s="8">
        <f t="shared" si="27"/>
        <v>12825.900000000001</v>
      </c>
      <c r="AF676" s="8"/>
      <c r="AG676" s="55">
        <v>23487.86</v>
      </c>
      <c r="AH676" s="55"/>
      <c r="AI676" s="55">
        <v>58394.48</v>
      </c>
      <c r="AJ676" s="55"/>
      <c r="AK676" s="55">
        <v>81882.34</v>
      </c>
      <c r="AL676" s="8">
        <f>+'Gov Rev'!AI673-'Gov Exp'!AE676+'Gov Exp'!AI676-'Gov Exp'!AK676</f>
        <v>0</v>
      </c>
      <c r="AM676" s="6" t="str">
        <f>'Gov Rev'!A673</f>
        <v>Yankee Lake</v>
      </c>
      <c r="AN676" s="6" t="str">
        <f t="shared" si="28"/>
        <v>Yankee Lake</v>
      </c>
      <c r="AO676" s="6" t="b">
        <f t="shared" si="29"/>
        <v>1</v>
      </c>
    </row>
    <row r="677" spans="1:41" x14ac:dyDescent="0.2">
      <c r="A677" s="6" t="s">
        <v>348</v>
      </c>
      <c r="C677" s="6" t="s">
        <v>345</v>
      </c>
      <c r="E677" s="8">
        <v>1250625</v>
      </c>
      <c r="G677" s="8">
        <v>12695</v>
      </c>
      <c r="I677" s="8">
        <v>319223</v>
      </c>
      <c r="K677" s="8">
        <v>132944</v>
      </c>
      <c r="M677" s="8">
        <v>0</v>
      </c>
      <c r="O677" s="8">
        <v>492995</v>
      </c>
      <c r="Q677" s="8">
        <v>681056</v>
      </c>
      <c r="S677" s="8">
        <v>345702</v>
      </c>
      <c r="U677" s="8">
        <v>523750</v>
      </c>
      <c r="W677" s="8">
        <v>9152</v>
      </c>
      <c r="Y677" s="8">
        <v>967430</v>
      </c>
      <c r="AA677" s="8">
        <v>0</v>
      </c>
      <c r="AC677" s="8">
        <v>0</v>
      </c>
      <c r="AE677" s="8">
        <f t="shared" si="27"/>
        <v>4735572</v>
      </c>
      <c r="AF677" s="8"/>
      <c r="AG677" s="55"/>
      <c r="AH677" s="55"/>
      <c r="AI677" s="55"/>
      <c r="AJ677" s="55"/>
      <c r="AK677" s="55"/>
      <c r="AL677" s="8">
        <f>+'Gov Rev'!AI674-'Gov Exp'!AE677+'Gov Exp'!AI677-'Gov Exp'!AK677</f>
        <v>322589</v>
      </c>
      <c r="AM677" s="6" t="str">
        <f>'Gov Rev'!A674</f>
        <v>Yellow Springs</v>
      </c>
      <c r="AN677" s="6" t="str">
        <f t="shared" si="28"/>
        <v>Yellow Springs</v>
      </c>
      <c r="AO677" s="6" t="b">
        <f t="shared" si="29"/>
        <v>1</v>
      </c>
    </row>
    <row r="678" spans="1:41" x14ac:dyDescent="0.2">
      <c r="A678" s="6" t="s">
        <v>317</v>
      </c>
      <c r="C678" s="6" t="s">
        <v>306</v>
      </c>
      <c r="E678" s="8">
        <v>4111</v>
      </c>
      <c r="G678" s="8">
        <v>337</v>
      </c>
      <c r="I678" s="8">
        <v>0</v>
      </c>
      <c r="K678" s="8">
        <v>0</v>
      </c>
      <c r="M678" s="8">
        <v>3034</v>
      </c>
      <c r="O678" s="8">
        <v>0</v>
      </c>
      <c r="Q678" s="8">
        <v>27418</v>
      </c>
      <c r="S678" s="8">
        <v>72228</v>
      </c>
      <c r="U678" s="8">
        <v>4279</v>
      </c>
      <c r="W678" s="8">
        <v>0</v>
      </c>
      <c r="Y678" s="8">
        <v>0</v>
      </c>
      <c r="AA678" s="8">
        <v>0</v>
      </c>
      <c r="AC678" s="8">
        <v>0</v>
      </c>
      <c r="AE678" s="8">
        <f t="shared" si="27"/>
        <v>111407</v>
      </c>
      <c r="AF678" s="8"/>
      <c r="AG678" s="55"/>
      <c r="AH678" s="55"/>
      <c r="AI678" s="55"/>
      <c r="AJ678" s="55"/>
      <c r="AK678" s="55"/>
      <c r="AL678" s="8">
        <f>+'Gov Rev'!AI675-'Gov Exp'!AE678+'Gov Exp'!AI678-'Gov Exp'!AK678</f>
        <v>29793</v>
      </c>
      <c r="AM678" s="6" t="str">
        <f>'Gov Rev'!A675</f>
        <v>Yorkshire</v>
      </c>
      <c r="AN678" s="6" t="str">
        <f t="shared" si="28"/>
        <v>Yorkshire</v>
      </c>
      <c r="AO678" s="6" t="b">
        <f t="shared" si="29"/>
        <v>1</v>
      </c>
    </row>
    <row r="679" spans="1:41" x14ac:dyDescent="0.2">
      <c r="A679" s="6" t="s">
        <v>394</v>
      </c>
      <c r="C679" s="6" t="s">
        <v>390</v>
      </c>
      <c r="E679" s="8">
        <f>162180+106140</f>
        <v>268320</v>
      </c>
      <c r="G679" s="8">
        <v>0</v>
      </c>
      <c r="I679" s="8">
        <v>0</v>
      </c>
      <c r="K679" s="8">
        <v>8565</v>
      </c>
      <c r="M679" s="8">
        <v>82306</v>
      </c>
      <c r="O679" s="8">
        <v>0</v>
      </c>
      <c r="Q679" s="8">
        <v>122300</v>
      </c>
      <c r="S679" s="8">
        <v>0</v>
      </c>
      <c r="U679" s="8">
        <v>31958</v>
      </c>
      <c r="W679" s="8">
        <v>0</v>
      </c>
      <c r="Y679" s="8">
        <v>0</v>
      </c>
      <c r="AA679" s="8">
        <v>0</v>
      </c>
      <c r="AC679" s="8">
        <v>0</v>
      </c>
      <c r="AE679" s="8">
        <f t="shared" ref="AE679:AE682" si="30">SUM(E679:AC679)</f>
        <v>513449</v>
      </c>
      <c r="AF679" s="8"/>
      <c r="AG679" s="55"/>
      <c r="AH679" s="55"/>
      <c r="AI679" s="55"/>
      <c r="AJ679" s="55"/>
      <c r="AK679" s="55"/>
      <c r="AL679" s="8">
        <f>+'Gov Rev'!AI679-'Gov Exp'!AE679+'Gov Exp'!AI679-'Gov Exp'!AK679</f>
        <v>-67938</v>
      </c>
      <c r="AM679" s="6" t="str">
        <f>'Gov Rev'!A679</f>
        <v>Yorkville</v>
      </c>
      <c r="AN679" s="6" t="str">
        <f t="shared" ref="AN679:AN682" si="31">A679</f>
        <v>Yorkville</v>
      </c>
      <c r="AO679" s="6" t="b">
        <f t="shared" ref="AO679:AO682" si="32">AM679=AN679</f>
        <v>1</v>
      </c>
    </row>
    <row r="680" spans="1:41" x14ac:dyDescent="0.2">
      <c r="A680" s="6" t="s">
        <v>538</v>
      </c>
      <c r="C680" s="6" t="s">
        <v>77</v>
      </c>
      <c r="E680" s="8">
        <v>30204</v>
      </c>
      <c r="G680" s="8">
        <v>0</v>
      </c>
      <c r="I680" s="8">
        <v>2205</v>
      </c>
      <c r="K680" s="8">
        <v>0</v>
      </c>
      <c r="M680" s="8">
        <v>1602</v>
      </c>
      <c r="O680" s="8">
        <v>7782</v>
      </c>
      <c r="Q680" s="8">
        <v>19421</v>
      </c>
      <c r="S680" s="8">
        <v>11950</v>
      </c>
      <c r="U680" s="8">
        <v>0</v>
      </c>
      <c r="W680" s="8">
        <v>0</v>
      </c>
      <c r="Y680" s="8">
        <v>0</v>
      </c>
      <c r="AA680" s="8">
        <v>0</v>
      </c>
      <c r="AC680" s="8">
        <v>0</v>
      </c>
      <c r="AE680" s="8">
        <f t="shared" si="30"/>
        <v>73164</v>
      </c>
      <c r="AF680" s="8"/>
      <c r="AG680" s="55"/>
      <c r="AH680" s="55"/>
      <c r="AI680" s="55"/>
      <c r="AJ680" s="55"/>
      <c r="AK680" s="55"/>
      <c r="AL680" s="8">
        <f>+'Gov Rev'!AI680-'Gov Exp'!AE680+'Gov Exp'!AI680-'Gov Exp'!AK680</f>
        <v>9748</v>
      </c>
      <c r="AM680" s="6" t="str">
        <f>'Gov Rev'!A680</f>
        <v>Zaleski</v>
      </c>
      <c r="AN680" s="6" t="str">
        <f t="shared" si="31"/>
        <v>Zaleski</v>
      </c>
      <c r="AO680" s="6" t="b">
        <f t="shared" si="32"/>
        <v>1</v>
      </c>
    </row>
    <row r="681" spans="1:41" x14ac:dyDescent="0.2">
      <c r="A681" s="6" t="s">
        <v>417</v>
      </c>
      <c r="C681" s="6" t="s">
        <v>414</v>
      </c>
      <c r="E681" s="8">
        <v>0</v>
      </c>
      <c r="G681" s="8">
        <v>0</v>
      </c>
      <c r="I681" s="8">
        <v>1345</v>
      </c>
      <c r="K681" s="8">
        <v>500</v>
      </c>
      <c r="M681" s="8">
        <v>0</v>
      </c>
      <c r="O681" s="8">
        <v>8566</v>
      </c>
      <c r="Q681" s="8">
        <v>19544</v>
      </c>
      <c r="S681" s="8">
        <v>0</v>
      </c>
      <c r="U681" s="8">
        <v>0</v>
      </c>
      <c r="W681" s="8">
        <v>0</v>
      </c>
      <c r="Y681" s="8">
        <v>414</v>
      </c>
      <c r="AA681" s="8">
        <v>0</v>
      </c>
      <c r="AC681" s="8">
        <v>0</v>
      </c>
      <c r="AE681" s="8">
        <f t="shared" si="30"/>
        <v>30369</v>
      </c>
      <c r="AF681" s="8"/>
      <c r="AG681" s="55"/>
      <c r="AH681" s="55"/>
      <c r="AI681" s="55"/>
      <c r="AJ681" s="55"/>
      <c r="AK681" s="55"/>
      <c r="AL681" s="8">
        <f>+'Gov Rev'!AI681-'Gov Exp'!AE681+'Gov Exp'!AI681-'Gov Exp'!AK681</f>
        <v>-2611</v>
      </c>
      <c r="AM681" s="6" t="str">
        <f>'Gov Rev'!A681</f>
        <v>Zanesfield</v>
      </c>
      <c r="AN681" s="6" t="str">
        <f t="shared" si="31"/>
        <v>Zanesfield</v>
      </c>
      <c r="AO681" s="6" t="b">
        <f t="shared" si="32"/>
        <v>1</v>
      </c>
    </row>
    <row r="682" spans="1:41" x14ac:dyDescent="0.2">
      <c r="A682" s="6" t="s">
        <v>220</v>
      </c>
      <c r="C682" s="6" t="s">
        <v>521</v>
      </c>
      <c r="E682" s="8">
        <v>28059.74</v>
      </c>
      <c r="G682" s="8">
        <v>2249.2199999999998</v>
      </c>
      <c r="I682" s="8">
        <v>942.3</v>
      </c>
      <c r="K682" s="8">
        <v>600</v>
      </c>
      <c r="M682" s="8">
        <v>0</v>
      </c>
      <c r="O682" s="8">
        <v>362523.61</v>
      </c>
      <c r="Q682" s="8">
        <v>15761.48</v>
      </c>
      <c r="S682" s="8">
        <v>2423.58</v>
      </c>
      <c r="U682" s="8">
        <v>0</v>
      </c>
      <c r="W682" s="8">
        <v>0</v>
      </c>
      <c r="Y682" s="8">
        <v>0</v>
      </c>
      <c r="AA682" s="8">
        <v>35084.559999999998</v>
      </c>
      <c r="AC682" s="8">
        <v>0</v>
      </c>
      <c r="AE682" s="8">
        <f t="shared" si="30"/>
        <v>447644.49</v>
      </c>
      <c r="AF682" s="8"/>
      <c r="AG682" s="55">
        <v>-73712.009999999995</v>
      </c>
      <c r="AH682" s="55"/>
      <c r="AI682" s="55">
        <v>174063.91</v>
      </c>
      <c r="AJ682" s="55"/>
      <c r="AK682" s="55">
        <v>100351.9</v>
      </c>
      <c r="AL682" s="8">
        <f>+'Gov Rev'!AI682-'Gov Exp'!AE682+'Gov Exp'!AI682-'Gov Exp'!AK682</f>
        <v>0</v>
      </c>
      <c r="AM682" s="6" t="str">
        <f>'Gov Rev'!A682</f>
        <v>Zoar</v>
      </c>
      <c r="AN682" s="6" t="str">
        <f t="shared" si="31"/>
        <v>Zoar</v>
      </c>
      <c r="AO682" s="6" t="b">
        <f t="shared" si="32"/>
        <v>1</v>
      </c>
    </row>
  </sheetData>
  <sortState ref="A9:AK684">
    <sortCondition ref="A9:A684"/>
    <sortCondition ref="C9:C684"/>
  </sortState>
  <phoneticPr fontId="1" type="noConversion"/>
  <printOptions horizontalCentered="1"/>
  <pageMargins left="0.5" right="0.5" top="0.5" bottom="0.5" header="0" footer="0.3"/>
  <pageSetup scale="82" firstPageNumber="74" fitToWidth="2" fitToHeight="26" pageOrder="overThenDown" orientation="portrait" useFirstPageNumber="1" horizontalDpi="1200" verticalDpi="1200" r:id="rId1"/>
  <headerFooter scaleWithDoc="0" alignWithMargins="0">
    <oddFooter>&amp;C&amp;P</oddFooter>
  </headerFooter>
  <rowBreaks count="2" manualBreakCount="2">
    <brk id="397" max="30" man="1"/>
    <brk id="462" max="30" man="1"/>
  </rowBreaks>
  <colBreaks count="1" manualBreakCount="1">
    <brk id="16" max="6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Statement of Activities</vt:lpstr>
      <vt:lpstr>Gen Rev</vt:lpstr>
      <vt:lpstr>Gen Exp</vt:lpstr>
      <vt:lpstr>Gov Rev</vt:lpstr>
      <vt:lpstr>Gov Exp</vt:lpstr>
      <vt:lpstr>'Gen Exp'!Print_Area</vt:lpstr>
      <vt:lpstr>'Gen Rev'!Print_Area</vt:lpstr>
      <vt:lpstr>'Gov Exp'!Print_Area</vt:lpstr>
      <vt:lpstr>'Gov Rev'!Print_Area</vt:lpstr>
      <vt:lpstr>'Statement of Activities'!Print_Area</vt:lpstr>
      <vt:lpstr>'Gen Exp'!Print_Titles</vt:lpstr>
      <vt:lpstr>'Gen Rev'!Print_Titles</vt:lpstr>
      <vt:lpstr>'Gov Exp'!Print_Titles</vt:lpstr>
      <vt:lpstr>'Gov Rev'!Print_Titles</vt:lpstr>
      <vt:lpstr>'Statement of Activities'!Print_Titles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G. Wilcheck</dc:creator>
  <cp:lastModifiedBy>Tisha A. Turner</cp:lastModifiedBy>
  <cp:lastPrinted>2015-02-27T16:39:14Z</cp:lastPrinted>
  <dcterms:created xsi:type="dcterms:W3CDTF">2005-07-07T14:55:27Z</dcterms:created>
  <dcterms:modified xsi:type="dcterms:W3CDTF">2015-02-27T16:41:06Z</dcterms:modified>
</cp:coreProperties>
</file>